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110" tabRatio="739" firstSheet="4" activeTab="12"/>
  </bookViews>
  <sheets>
    <sheet name="sprocket diameters" sheetId="16" r:id="rId1"/>
    <sheet name="4 bolt even" sheetId="7" r:id="rId2"/>
    <sheet name="4 bolt uneven" sheetId="14" r:id="rId3"/>
    <sheet name="5--bolt" sheetId="2" r:id="rId4"/>
    <sheet name="3 and 6-bolt" sheetId="8" r:id="rId5"/>
    <sheet name="4-bolt raw" sheetId="3" r:id="rId6"/>
    <sheet name="FSA 76 ABS" sheetId="9" r:id="rId7"/>
    <sheet name="FSA 96 ABS" sheetId="10" r:id="rId8"/>
    <sheet name="FSA 68 ABS" sheetId="11" r:id="rId9"/>
    <sheet name="FSA 110 ABS" sheetId="12" r:id="rId10"/>
    <sheet name="Torno" sheetId="13" r:id="rId11"/>
    <sheet name="CAMO" sheetId="5" r:id="rId12"/>
    <sheet name="Campag" sheetId="15" r:id="rId13"/>
    <sheet name="Sheet1" sheetId="17" r:id="rId14"/>
  </sheets>
  <calcPr calcId="145621"/>
</workbook>
</file>

<file path=xl/calcChain.xml><?xml version="1.0" encoding="utf-8"?>
<calcChain xmlns="http://schemas.openxmlformats.org/spreadsheetml/2006/main">
  <c r="H12" i="15" l="1"/>
  <c r="H11" i="15"/>
  <c r="E12" i="15"/>
  <c r="F12" i="15" s="1"/>
  <c r="C12" i="15"/>
  <c r="C11" i="15"/>
  <c r="E11" i="15"/>
  <c r="F11" i="15" s="1"/>
  <c r="I10" i="3" l="1"/>
  <c r="F10" i="3"/>
  <c r="E4" i="17"/>
  <c r="F4" i="17"/>
  <c r="H4" i="17"/>
  <c r="C5" i="17"/>
  <c r="E5" i="17"/>
  <c r="F5" i="17"/>
  <c r="H5" i="17"/>
  <c r="G10" i="3"/>
  <c r="E65" i="16" l="1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I2" i="16"/>
  <c r="D2" i="16" l="1"/>
  <c r="H2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D50" i="16" s="1"/>
  <c r="B49" i="16"/>
  <c r="B48" i="16"/>
  <c r="B47" i="16"/>
  <c r="B46" i="16"/>
  <c r="B45" i="16"/>
  <c r="B44" i="16"/>
  <c r="B43" i="16"/>
  <c r="D43" i="16" s="1"/>
  <c r="B42" i="16"/>
  <c r="D42" i="16" s="1"/>
  <c r="B41" i="16"/>
  <c r="B40" i="16"/>
  <c r="B39" i="16"/>
  <c r="B38" i="16"/>
  <c r="B37" i="16"/>
  <c r="B36" i="16"/>
  <c r="B35" i="16"/>
  <c r="D35" i="16" s="1"/>
  <c r="B34" i="16"/>
  <c r="D34" i="16" s="1"/>
  <c r="B33" i="16"/>
  <c r="B32" i="16"/>
  <c r="B31" i="16"/>
  <c r="B30" i="16"/>
  <c r="B29" i="16"/>
  <c r="B28" i="16"/>
  <c r="B27" i="16"/>
  <c r="B26" i="16"/>
  <c r="D26" i="16" s="1"/>
  <c r="B25" i="16"/>
  <c r="B24" i="16"/>
  <c r="B23" i="16"/>
  <c r="B22" i="16"/>
  <c r="B21" i="16"/>
  <c r="B20" i="16"/>
  <c r="B19" i="16"/>
  <c r="B18" i="16"/>
  <c r="D18" i="16" s="1"/>
  <c r="B17" i="16"/>
  <c r="B16" i="16"/>
  <c r="B15" i="16"/>
  <c r="D15" i="16" s="1"/>
  <c r="B14" i="16"/>
  <c r="B13" i="16"/>
  <c r="B12" i="16"/>
  <c r="B11" i="16"/>
  <c r="B10" i="16"/>
  <c r="D10" i="16" s="1"/>
  <c r="B9" i="16"/>
  <c r="B8" i="16"/>
  <c r="B7" i="16"/>
  <c r="B6" i="16"/>
  <c r="B5" i="16"/>
  <c r="B4" i="16"/>
  <c r="B3" i="16"/>
  <c r="B2" i="16"/>
  <c r="D44" i="16"/>
  <c r="D28" i="16"/>
  <c r="D58" i="16"/>
  <c r="D55" i="16"/>
  <c r="D39" i="16"/>
  <c r="D31" i="16"/>
  <c r="J2" i="16"/>
  <c r="C58" i="16" s="1"/>
  <c r="D4" i="16"/>
  <c r="C22" i="16" l="1"/>
  <c r="C37" i="16"/>
  <c r="C16" i="16"/>
  <c r="C19" i="16"/>
  <c r="C33" i="16"/>
  <c r="C7" i="16"/>
  <c r="C3" i="16"/>
  <c r="C51" i="16"/>
  <c r="C40" i="16"/>
  <c r="C8" i="16"/>
  <c r="C29" i="16"/>
  <c r="C36" i="16"/>
  <c r="C48" i="16"/>
  <c r="C9" i="16"/>
  <c r="C53" i="16"/>
  <c r="C6" i="16"/>
  <c r="C52" i="16"/>
  <c r="C47" i="16"/>
  <c r="C46" i="16"/>
  <c r="C13" i="16"/>
  <c r="C57" i="16"/>
  <c r="C55" i="16"/>
  <c r="C11" i="16"/>
  <c r="C5" i="16"/>
  <c r="C49" i="16"/>
  <c r="C38" i="16"/>
  <c r="C61" i="16"/>
  <c r="C32" i="16"/>
  <c r="C14" i="16"/>
  <c r="C54" i="16"/>
  <c r="C21" i="16"/>
  <c r="C56" i="16"/>
  <c r="C17" i="16"/>
  <c r="C64" i="16"/>
  <c r="C62" i="16"/>
  <c r="C30" i="16"/>
  <c r="C65" i="16"/>
  <c r="C20" i="16"/>
  <c r="C41" i="16"/>
  <c r="C23" i="16"/>
  <c r="C60" i="16"/>
  <c r="C12" i="16"/>
  <c r="C24" i="16"/>
  <c r="C15" i="16"/>
  <c r="C27" i="16"/>
  <c r="C59" i="16"/>
  <c r="C45" i="16"/>
  <c r="C25" i="16"/>
  <c r="C39" i="16"/>
  <c r="C63" i="16"/>
  <c r="C2" i="16"/>
  <c r="C31" i="16"/>
  <c r="D7" i="16"/>
  <c r="D23" i="16"/>
  <c r="D47" i="16"/>
  <c r="D63" i="16"/>
  <c r="C35" i="16"/>
  <c r="C43" i="16"/>
  <c r="D51" i="16"/>
  <c r="D59" i="16"/>
  <c r="E2" i="16"/>
  <c r="D8" i="16"/>
  <c r="D32" i="16"/>
  <c r="D56" i="16"/>
  <c r="D3" i="16"/>
  <c r="D11" i="16"/>
  <c r="D19" i="16"/>
  <c r="D27" i="16"/>
  <c r="C10" i="16"/>
  <c r="C18" i="16"/>
  <c r="C26" i="16"/>
  <c r="C34" i="16"/>
  <c r="C42" i="16"/>
  <c r="C50" i="16"/>
  <c r="D12" i="16"/>
  <c r="D36" i="16"/>
  <c r="D60" i="16"/>
  <c r="D20" i="16"/>
  <c r="D52" i="16"/>
  <c r="D5" i="16"/>
  <c r="D13" i="16"/>
  <c r="D21" i="16"/>
  <c r="D29" i="16"/>
  <c r="D37" i="16"/>
  <c r="D45" i="16"/>
  <c r="D53" i="16"/>
  <c r="D61" i="16"/>
  <c r="C4" i="16"/>
  <c r="C28" i="16"/>
  <c r="C44" i="16"/>
  <c r="D6" i="16"/>
  <c r="D14" i="16"/>
  <c r="D22" i="16"/>
  <c r="D30" i="16"/>
  <c r="D38" i="16"/>
  <c r="D46" i="16"/>
  <c r="D54" i="16"/>
  <c r="D62" i="16"/>
  <c r="D16" i="16"/>
  <c r="D40" i="16"/>
  <c r="D25" i="16"/>
  <c r="D24" i="16"/>
  <c r="D48" i="16"/>
  <c r="D64" i="16"/>
  <c r="D9" i="16"/>
  <c r="D17" i="16"/>
  <c r="D33" i="16"/>
  <c r="D41" i="16"/>
  <c r="D49" i="16"/>
  <c r="D57" i="16"/>
  <c r="D65" i="16"/>
  <c r="H7" i="15"/>
  <c r="H5" i="15"/>
  <c r="H6" i="15"/>
  <c r="E7" i="15"/>
  <c r="D7" i="15"/>
  <c r="B7" i="15"/>
  <c r="B6" i="15"/>
  <c r="D6" i="15"/>
  <c r="E6" i="15"/>
  <c r="B5" i="15"/>
  <c r="B4" i="15"/>
  <c r="E4" i="15"/>
  <c r="H4" i="15"/>
  <c r="F7" i="15" l="1"/>
  <c r="E5" i="15"/>
  <c r="F5" i="15" s="1"/>
  <c r="F6" i="15"/>
  <c r="F4" i="15"/>
  <c r="C20" i="3"/>
  <c r="K13" i="14" l="1"/>
  <c r="F13" i="14"/>
  <c r="E13" i="14"/>
  <c r="K12" i="14"/>
  <c r="G12" i="14"/>
  <c r="F12" i="14"/>
  <c r="E12" i="14"/>
  <c r="K11" i="14"/>
  <c r="G11" i="14"/>
  <c r="F11" i="14"/>
  <c r="E11" i="14"/>
  <c r="K10" i="14"/>
  <c r="F10" i="14"/>
  <c r="E10" i="14"/>
  <c r="K9" i="14"/>
  <c r="F9" i="14"/>
  <c r="E9" i="14"/>
  <c r="K8" i="14"/>
  <c r="F8" i="14"/>
  <c r="E8" i="14"/>
  <c r="K7" i="14"/>
  <c r="G7" i="14"/>
  <c r="F7" i="14"/>
  <c r="E7" i="14"/>
  <c r="K6" i="14"/>
  <c r="G6" i="14"/>
  <c r="F6" i="14"/>
  <c r="E6" i="14"/>
  <c r="K5" i="14"/>
  <c r="G5" i="14"/>
  <c r="F5" i="14"/>
  <c r="E5" i="14"/>
  <c r="K4" i="14"/>
  <c r="F4" i="14"/>
  <c r="E4" i="14"/>
  <c r="K3" i="14"/>
  <c r="F3" i="14"/>
  <c r="E3" i="14"/>
  <c r="E6" i="7" l="1"/>
  <c r="F8" i="13"/>
  <c r="F16" i="13"/>
  <c r="F23" i="13"/>
  <c r="G24" i="13"/>
  <c r="H22" i="13"/>
  <c r="H21" i="13"/>
  <c r="H20" i="13"/>
  <c r="H19" i="13"/>
  <c r="G17" i="13"/>
  <c r="E15" i="13"/>
  <c r="F15" i="13" s="1"/>
  <c r="H15" i="13"/>
  <c r="C15" i="13"/>
  <c r="H14" i="13"/>
  <c r="C14" i="13"/>
  <c r="H13" i="13"/>
  <c r="C13" i="13"/>
  <c r="H12" i="13"/>
  <c r="C12" i="13"/>
  <c r="G9" i="13"/>
  <c r="E7" i="13"/>
  <c r="F7" i="13" s="1"/>
  <c r="H7" i="13"/>
  <c r="C7" i="13"/>
  <c r="H6" i="13"/>
  <c r="C6" i="13"/>
  <c r="H5" i="13"/>
  <c r="C5" i="13"/>
  <c r="H4" i="13"/>
  <c r="C4" i="13"/>
  <c r="C8" i="13" s="1"/>
  <c r="F22" i="13" l="1"/>
  <c r="E4" i="13"/>
  <c r="F4" i="13" s="1"/>
  <c r="E6" i="13"/>
  <c r="F6" i="13" s="1"/>
  <c r="E12" i="13"/>
  <c r="F12" i="13" s="1"/>
  <c r="E14" i="13"/>
  <c r="F14" i="13" s="1"/>
  <c r="E13" i="13"/>
  <c r="E5" i="13"/>
  <c r="F5" i="13" s="1"/>
  <c r="F13" i="2"/>
  <c r="E13" i="2"/>
  <c r="D13" i="2"/>
  <c r="C13" i="2"/>
  <c r="H22" i="12"/>
  <c r="H21" i="12"/>
  <c r="H20" i="12"/>
  <c r="H19" i="12"/>
  <c r="F16" i="12"/>
  <c r="F22" i="12"/>
  <c r="F21" i="12"/>
  <c r="F20" i="12"/>
  <c r="F19" i="12"/>
  <c r="E15" i="12"/>
  <c r="E14" i="12"/>
  <c r="G24" i="12"/>
  <c r="G17" i="12"/>
  <c r="B16" i="12"/>
  <c r="E13" i="12" s="1"/>
  <c r="H15" i="12"/>
  <c r="C15" i="12"/>
  <c r="H14" i="12"/>
  <c r="C14" i="12"/>
  <c r="H13" i="12"/>
  <c r="C13" i="12"/>
  <c r="H12" i="12"/>
  <c r="C12" i="12"/>
  <c r="G9" i="12"/>
  <c r="B8" i="12"/>
  <c r="E7" i="12" s="1"/>
  <c r="F7" i="12" s="1"/>
  <c r="H7" i="12"/>
  <c r="C7" i="12"/>
  <c r="H6" i="12"/>
  <c r="C6" i="12"/>
  <c r="H5" i="12"/>
  <c r="C5" i="12"/>
  <c r="H4" i="12"/>
  <c r="C4" i="12"/>
  <c r="F21" i="13" l="1"/>
  <c r="F13" i="13"/>
  <c r="E16" i="13"/>
  <c r="F19" i="13"/>
  <c r="E8" i="13"/>
  <c r="E12" i="12"/>
  <c r="F12" i="12" s="1"/>
  <c r="C8" i="12"/>
  <c r="E6" i="12"/>
  <c r="F6" i="12" s="1"/>
  <c r="F15" i="12"/>
  <c r="F13" i="12"/>
  <c r="E4" i="12"/>
  <c r="F4" i="12" s="1"/>
  <c r="F14" i="12"/>
  <c r="E5" i="12"/>
  <c r="E8" i="12" s="1"/>
  <c r="G9" i="11"/>
  <c r="B9" i="11"/>
  <c r="E8" i="11" s="1"/>
  <c r="F8" i="11" s="1"/>
  <c r="C8" i="11"/>
  <c r="C7" i="11"/>
  <c r="C6" i="11"/>
  <c r="C5" i="11"/>
  <c r="D9" i="11"/>
  <c r="G10" i="11"/>
  <c r="H8" i="11"/>
  <c r="H7" i="11"/>
  <c r="H6" i="11"/>
  <c r="H9" i="11" s="1"/>
  <c r="H5" i="11"/>
  <c r="H9" i="10"/>
  <c r="H8" i="10"/>
  <c r="H7" i="10"/>
  <c r="H6" i="10"/>
  <c r="H5" i="10"/>
  <c r="F9" i="10"/>
  <c r="C8" i="10"/>
  <c r="C7" i="10"/>
  <c r="C6" i="10"/>
  <c r="C5" i="10"/>
  <c r="E10" i="7"/>
  <c r="E15" i="7"/>
  <c r="E16" i="7"/>
  <c r="G41" i="9"/>
  <c r="H40" i="9"/>
  <c r="H39" i="9"/>
  <c r="H38" i="9"/>
  <c r="H37" i="9"/>
  <c r="H36" i="9"/>
  <c r="C4" i="9"/>
  <c r="C5" i="9"/>
  <c r="C6" i="9"/>
  <c r="C7" i="9"/>
  <c r="C8" i="9"/>
  <c r="C12" i="9"/>
  <c r="C16" i="9" s="1"/>
  <c r="C13" i="9"/>
  <c r="C14" i="9"/>
  <c r="C15" i="9"/>
  <c r="C20" i="9"/>
  <c r="C21" i="9"/>
  <c r="C22" i="9"/>
  <c r="C24" i="9" s="1"/>
  <c r="C23" i="9"/>
  <c r="C28" i="9"/>
  <c r="C29" i="9"/>
  <c r="C30" i="9"/>
  <c r="C31" i="9"/>
  <c r="C32" i="9"/>
  <c r="F40" i="9"/>
  <c r="F41" i="9"/>
  <c r="F39" i="9"/>
  <c r="F38" i="9"/>
  <c r="F37" i="9"/>
  <c r="F36" i="9"/>
  <c r="E31" i="9"/>
  <c r="F31" i="9" s="1"/>
  <c r="E30" i="9"/>
  <c r="E29" i="9"/>
  <c r="E32" i="9" s="1"/>
  <c r="E28" i="9"/>
  <c r="F28" i="9" s="1"/>
  <c r="G33" i="9"/>
  <c r="H32" i="9"/>
  <c r="B32" i="9"/>
  <c r="H31" i="9"/>
  <c r="H30" i="9"/>
  <c r="H29" i="9"/>
  <c r="H28" i="9"/>
  <c r="E23" i="9"/>
  <c r="F23" i="9" s="1"/>
  <c r="E22" i="9"/>
  <c r="E21" i="9"/>
  <c r="E20" i="9"/>
  <c r="F20" i="9" s="1"/>
  <c r="G25" i="9"/>
  <c r="H24" i="9"/>
  <c r="E24" i="9"/>
  <c r="B24" i="9"/>
  <c r="H23" i="9"/>
  <c r="H22" i="9"/>
  <c r="F22" i="9"/>
  <c r="H21" i="9"/>
  <c r="F21" i="9"/>
  <c r="H20" i="9"/>
  <c r="G10" i="10"/>
  <c r="B9" i="10"/>
  <c r="E8" i="10" s="1"/>
  <c r="G17" i="9"/>
  <c r="B16" i="9"/>
  <c r="H15" i="9"/>
  <c r="H14" i="9"/>
  <c r="H13" i="9"/>
  <c r="E13" i="9"/>
  <c r="F13" i="9" s="1"/>
  <c r="H12" i="9"/>
  <c r="H7" i="9"/>
  <c r="H6" i="9"/>
  <c r="H5" i="9"/>
  <c r="H4" i="9"/>
  <c r="G9" i="9"/>
  <c r="B8" i="9"/>
  <c r="E5" i="9" s="1"/>
  <c r="F20" i="13" l="1"/>
  <c r="F9" i="13"/>
  <c r="F17" i="13"/>
  <c r="E16" i="12"/>
  <c r="F17" i="12"/>
  <c r="F5" i="12"/>
  <c r="C9" i="11"/>
  <c r="E7" i="11"/>
  <c r="F7" i="11" s="1"/>
  <c r="E5" i="11"/>
  <c r="F5" i="11" s="1"/>
  <c r="E6" i="11"/>
  <c r="E5" i="10"/>
  <c r="F5" i="10" s="1"/>
  <c r="E6" i="10"/>
  <c r="E7" i="10"/>
  <c r="F7" i="10" s="1"/>
  <c r="C9" i="10"/>
  <c r="F29" i="9"/>
  <c r="F30" i="9"/>
  <c r="F24" i="9"/>
  <c r="F25" i="9"/>
  <c r="E7" i="9"/>
  <c r="F7" i="9" s="1"/>
  <c r="E15" i="9"/>
  <c r="F15" i="9" s="1"/>
  <c r="E6" i="9"/>
  <c r="F6" i="9" s="1"/>
  <c r="E12" i="9"/>
  <c r="F12" i="9" s="1"/>
  <c r="F8" i="10"/>
  <c r="E14" i="9"/>
  <c r="E16" i="9" s="1"/>
  <c r="F5" i="9"/>
  <c r="E4" i="9"/>
  <c r="F4" i="9" s="1"/>
  <c r="E14" i="7"/>
  <c r="E12" i="7"/>
  <c r="E13" i="7"/>
  <c r="D14" i="2"/>
  <c r="C14" i="2"/>
  <c r="C11" i="2"/>
  <c r="D11" i="2"/>
  <c r="D16" i="8"/>
  <c r="D15" i="8"/>
  <c r="D14" i="8"/>
  <c r="D13" i="8"/>
  <c r="D12" i="8"/>
  <c r="D11" i="8"/>
  <c r="D10" i="8"/>
  <c r="D9" i="8"/>
  <c r="D7" i="8"/>
  <c r="D6" i="8"/>
  <c r="D5" i="8"/>
  <c r="D3" i="8"/>
  <c r="D4" i="8"/>
  <c r="D8" i="8"/>
  <c r="E8" i="7"/>
  <c r="F24" i="13" l="1"/>
  <c r="F8" i="12"/>
  <c r="F9" i="12"/>
  <c r="F6" i="11"/>
  <c r="F9" i="11" s="1"/>
  <c r="E9" i="11"/>
  <c r="F33" i="9"/>
  <c r="F32" i="9"/>
  <c r="F6" i="10"/>
  <c r="E9" i="10"/>
  <c r="E8" i="9"/>
  <c r="F9" i="9"/>
  <c r="F8" i="9"/>
  <c r="F14" i="9"/>
  <c r="B36" i="5"/>
  <c r="F23" i="12" l="1"/>
  <c r="F24" i="12"/>
  <c r="F10" i="11"/>
  <c r="F17" i="9"/>
  <c r="F16" i="9"/>
  <c r="F10" i="10"/>
  <c r="C15" i="8"/>
  <c r="C8" i="8"/>
  <c r="C5" i="8"/>
  <c r="C4" i="8"/>
  <c r="C3" i="8"/>
  <c r="F36" i="5"/>
  <c r="C36" i="5"/>
  <c r="D36" i="5"/>
  <c r="E36" i="5"/>
  <c r="G34" i="5"/>
  <c r="F20" i="5"/>
  <c r="E20" i="5"/>
  <c r="C21" i="5"/>
  <c r="D21" i="5"/>
  <c r="E21" i="5"/>
  <c r="H21" i="5"/>
  <c r="K9" i="5"/>
  <c r="F21" i="5" s="1"/>
  <c r="I9" i="5"/>
  <c r="I21" i="5" s="1"/>
  <c r="K8" i="5"/>
  <c r="H20" i="5" s="1"/>
  <c r="K7" i="5"/>
  <c r="G19" i="5" s="1"/>
  <c r="I8" i="5"/>
  <c r="I20" i="5" s="1"/>
  <c r="B21" i="5" l="1"/>
  <c r="G21" i="5"/>
  <c r="C20" i="5"/>
  <c r="B20" i="5"/>
  <c r="D20" i="5"/>
  <c r="D30" i="5" s="1"/>
  <c r="F30" i="5"/>
  <c r="B30" i="5"/>
  <c r="C30" i="5"/>
  <c r="E30" i="5"/>
  <c r="G20" i="5"/>
  <c r="D31" i="5"/>
  <c r="B31" i="5"/>
  <c r="F31" i="5"/>
  <c r="E31" i="5"/>
  <c r="C31" i="5"/>
  <c r="I11" i="5"/>
  <c r="G31" i="5" l="1"/>
  <c r="H19" i="5"/>
  <c r="I7" i="5"/>
  <c r="I19" i="5" s="1"/>
  <c r="K6" i="5"/>
  <c r="E18" i="5" s="1"/>
  <c r="I6" i="5"/>
  <c r="E29" i="5" l="1"/>
  <c r="D29" i="5"/>
  <c r="G18" i="5"/>
  <c r="F19" i="5"/>
  <c r="F29" i="5" s="1"/>
  <c r="B19" i="5"/>
  <c r="B29" i="5" s="1"/>
  <c r="C19" i="5"/>
  <c r="C29" i="5" s="1"/>
  <c r="B18" i="5"/>
  <c r="I18" i="5"/>
  <c r="E28" i="5" s="1"/>
  <c r="H18" i="5"/>
  <c r="C18" i="5"/>
  <c r="D18" i="5"/>
  <c r="F18" i="5"/>
  <c r="K4" i="5"/>
  <c r="B16" i="5" s="1"/>
  <c r="K3" i="5"/>
  <c r="G29" i="5" l="1"/>
  <c r="G30" i="5"/>
  <c r="C28" i="5"/>
  <c r="F28" i="5"/>
  <c r="D28" i="5"/>
  <c r="B28" i="5"/>
  <c r="K11" i="5"/>
  <c r="G28" i="5" l="1"/>
  <c r="K5" i="5"/>
  <c r="H17" i="5" s="1"/>
  <c r="I5" i="5"/>
  <c r="H16" i="5"/>
  <c r="G16" i="5"/>
  <c r="F16" i="5"/>
  <c r="E16" i="5"/>
  <c r="D16" i="5"/>
  <c r="C16" i="5"/>
  <c r="I4" i="5"/>
  <c r="I16" i="5" s="1"/>
  <c r="B26" i="5" s="1"/>
  <c r="H15" i="5"/>
  <c r="I3" i="5"/>
  <c r="I15" i="5" s="1"/>
  <c r="D12" i="2"/>
  <c r="C12" i="2"/>
  <c r="F26" i="5" l="1"/>
  <c r="E26" i="5"/>
  <c r="I17" i="5"/>
  <c r="I22" i="5" s="1"/>
  <c r="C26" i="5"/>
  <c r="D26" i="5"/>
  <c r="B17" i="5"/>
  <c r="B27" i="5" s="1"/>
  <c r="C17" i="5"/>
  <c r="C27" i="5" s="1"/>
  <c r="D17" i="5"/>
  <c r="E17" i="5"/>
  <c r="F17" i="5"/>
  <c r="G17" i="5"/>
  <c r="B15" i="5"/>
  <c r="B25" i="5" s="1"/>
  <c r="C15" i="5"/>
  <c r="C25" i="5" s="1"/>
  <c r="D15" i="5"/>
  <c r="D25" i="5" s="1"/>
  <c r="E15" i="5"/>
  <c r="E25" i="5" s="1"/>
  <c r="F15" i="5"/>
  <c r="F25" i="5" s="1"/>
  <c r="G15" i="5"/>
  <c r="E17" i="7"/>
  <c r="E11" i="7"/>
  <c r="E9" i="7"/>
  <c r="E7" i="7"/>
  <c r="E5" i="7"/>
  <c r="E4" i="7"/>
  <c r="E3" i="7"/>
  <c r="B33" i="5" l="1"/>
  <c r="C33" i="5"/>
  <c r="G26" i="5"/>
  <c r="G25" i="5"/>
  <c r="D27" i="5"/>
  <c r="D33" i="5" s="1"/>
  <c r="E27" i="5"/>
  <c r="E33" i="5" s="1"/>
  <c r="F27" i="5"/>
  <c r="F33" i="5" s="1"/>
  <c r="H19" i="3"/>
  <c r="G19" i="3"/>
  <c r="G16" i="3"/>
  <c r="G15" i="3"/>
  <c r="G9" i="3"/>
  <c r="G8" i="3"/>
  <c r="F19" i="3"/>
  <c r="F16" i="3"/>
  <c r="I16" i="3" s="1"/>
  <c r="F15" i="3"/>
  <c r="F9" i="3"/>
  <c r="F8" i="3"/>
  <c r="I15" i="3" l="1"/>
  <c r="I8" i="3"/>
  <c r="I9" i="3"/>
  <c r="I19" i="3"/>
  <c r="G33" i="5"/>
  <c r="G27" i="5"/>
  <c r="C13" i="3"/>
  <c r="F13" i="3" s="1"/>
  <c r="E13" i="3"/>
  <c r="H13" i="3" s="1"/>
  <c r="D13" i="3"/>
  <c r="G13" i="3" s="1"/>
  <c r="C12" i="3"/>
  <c r="F12" i="3" s="1"/>
  <c r="I13" i="3" l="1"/>
  <c r="C23" i="3"/>
  <c r="F23" i="3" s="1"/>
  <c r="C21" i="3"/>
  <c r="F20" i="3"/>
  <c r="C18" i="3"/>
  <c r="F18" i="3" s="1"/>
  <c r="C17" i="3"/>
  <c r="F17" i="3" s="1"/>
  <c r="C14" i="3"/>
  <c r="F14" i="3" s="1"/>
  <c r="C11" i="3"/>
  <c r="F11" i="3" s="1"/>
  <c r="C7" i="3"/>
  <c r="F7" i="3" s="1"/>
  <c r="C6" i="3"/>
  <c r="F6" i="3" s="1"/>
  <c r="C5" i="3"/>
  <c r="F5" i="3" s="1"/>
  <c r="C4" i="3"/>
  <c r="F4" i="3" s="1"/>
  <c r="C3" i="2"/>
  <c r="H3" i="2" s="1"/>
  <c r="D26" i="2"/>
  <c r="C26" i="2"/>
  <c r="D25" i="2"/>
  <c r="C25" i="2"/>
  <c r="D24" i="2"/>
  <c r="C24" i="2"/>
  <c r="D23" i="2"/>
  <c r="C23" i="2"/>
  <c r="D22" i="2"/>
  <c r="C22" i="2"/>
  <c r="D21" i="2"/>
  <c r="C21" i="2"/>
  <c r="D19" i="2"/>
  <c r="C19" i="2"/>
  <c r="D18" i="2"/>
  <c r="C18" i="2"/>
  <c r="D17" i="2"/>
  <c r="C17" i="2"/>
  <c r="D15" i="2"/>
  <c r="C15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16" i="2"/>
  <c r="D16" i="2"/>
  <c r="F21" i="3" l="1"/>
  <c r="C22" i="3"/>
  <c r="F22" i="3" s="1"/>
  <c r="I22" i="3" s="1"/>
  <c r="D22" i="3"/>
  <c r="G22" i="3" s="1"/>
</calcChain>
</file>

<file path=xl/comments1.xml><?xml version="1.0" encoding="utf-8"?>
<comments xmlns="http://schemas.openxmlformats.org/spreadsheetml/2006/main">
  <authors>
    <author>John</author>
  </authors>
  <commentList>
    <comment ref="J11" authorId="0">
      <text>
        <r>
          <rPr>
            <b/>
            <sz val="9"/>
            <color indexed="81"/>
            <rFont val="Tahoma"/>
            <charset val="1"/>
          </rPr>
          <t>John:</t>
        </r>
        <r>
          <rPr>
            <sz val="9"/>
            <color indexed="81"/>
            <rFont val="Tahoma"/>
            <charset val="1"/>
          </rPr>
          <t xml:space="preserve">
Estimate</t>
        </r>
      </text>
    </comment>
  </commentList>
</comments>
</file>

<file path=xl/sharedStrings.xml><?xml version="1.0" encoding="utf-8"?>
<sst xmlns="http://schemas.openxmlformats.org/spreadsheetml/2006/main" count="306" uniqueCount="146">
  <si>
    <t>5-bolt</t>
  </si>
  <si>
    <t>BCD</t>
  </si>
  <si>
    <t>Adjacent</t>
  </si>
  <si>
    <t>2nd</t>
  </si>
  <si>
    <t>Uneven</t>
  </si>
  <si>
    <t>CAMO relative spacing</t>
  </si>
  <si>
    <t>Inverse</t>
  </si>
  <si>
    <t>4 bolt</t>
  </si>
  <si>
    <t>Check</t>
  </si>
  <si>
    <t>Angles</t>
  </si>
  <si>
    <t>Shimano XTR M960 Hollowtech 4-arm outer</t>
  </si>
  <si>
    <t>Campagnolo Super Record, Record, Chorus</t>
  </si>
  <si>
    <t>SRAM 2x10 and XX. Threaded.</t>
  </si>
  <si>
    <t>Shimano XTR M950, M952 4-arm middle/outer, Campagnolo inner.</t>
  </si>
  <si>
    <t>Shimano Dura Ace 9000, Ultegra 6800, 105 5800, Tiagra 4703, 4700; Dura Ace with modification</t>
  </si>
  <si>
    <t>SRAM Apex 1</t>
  </si>
  <si>
    <t>Shimano XT, LX 4-arm outer 12 SPD, Sugino MX350. Threaded. See RaceFace compatibility table.</t>
  </si>
  <si>
    <t xml:space="preserve">Shimano 2003 XTR MX960 4-arm middle, </t>
  </si>
  <si>
    <t>3T Torno. Must use 3T bolts.</t>
  </si>
  <si>
    <t>Shimano compact triple cranksets models M782, M672, M622, M612</t>
  </si>
  <si>
    <t>Shimano XT M8000, SLX M7000, Deore M6000, 10mm holes</t>
  </si>
  <si>
    <t>Shimano XTR M9000 and M9020, M7 threaded holes.</t>
  </si>
  <si>
    <t>SRAM XO1, X1, GX, NX</t>
  </si>
  <si>
    <t>Shimano M985</t>
  </si>
  <si>
    <t>SRAM XX1 11-speed, Cannondale, Specialized Stout - symmetrical only around axis of crank. Threaded for M8 bolts.</t>
  </si>
  <si>
    <t>Shimano XTR M950, M952 4-arm inner</t>
  </si>
  <si>
    <t>Shimano XTR M960, XT, LX 4-arm inner. See RaceFace compatibility table.</t>
  </si>
  <si>
    <t>Shimano XT, SLX, XTR 11-speed with the "X" shape bolt pattern.</t>
  </si>
  <si>
    <t>Sugino MX350 4-arm inner</t>
  </si>
  <si>
    <t xml:space="preserve">Small-est </t>
  </si>
  <si>
    <t>3T Torno. Must use 3T bolts. Measurements are approximate, from photo.</t>
  </si>
  <si>
    <t xml:space="preserve">Shimano 2003 XTR MX960 4-arm middle </t>
  </si>
  <si>
    <t>Adjacent (Calcu-lated from angles)</t>
  </si>
  <si>
    <t>Very old Campagnolo standard (pre '67) (Obsolete)</t>
  </si>
  <si>
    <t>Old Campagnolo standard, still used for track; S-A FCT</t>
  </si>
  <si>
    <t>Current Campagnolo standard</t>
  </si>
  <si>
    <t>Standard Road double and triple (outer 2); S-A FCS</t>
  </si>
  <si>
    <t>Nervar Sport, Star (Obsolete)</t>
  </si>
  <si>
    <t>Stronglight 93, 101, 103, 104, 105 (Obsolete)</t>
  </si>
  <si>
    <t>Ofmega, SR (Obsolete)</t>
  </si>
  <si>
    <t>Old Campagnolo Gran Sport touring, Victory, Triomphe</t>
  </si>
  <si>
    <t>Touring double, standard triple outer</t>
  </si>
  <si>
    <t>Merz adapter; Campagnolo triple inner (Obsolete)</t>
  </si>
  <si>
    <t>Compact triple outer</t>
  </si>
  <si>
    <t>Shimano Dura-Ace triple inner</t>
  </si>
  <si>
    <t>Edco, Mavic triple inner (old)</t>
  </si>
  <si>
    <t>Stronglight 80, 99, 100, SR Apex (Obsolete). Chainwheels must be installed back to back, triple shifts poorly.</t>
  </si>
  <si>
    <t>Old Shimano Deore, Takagi triple inner. (Obsolete)</t>
  </si>
  <si>
    <t>Tevano (TA Campagnolo clone) triple inner. Bolts not interchangeable with others.</t>
  </si>
  <si>
    <t>Standard ("full-sized") triple inner, used with 110 mm, 130 mm or 135 mm outer.</t>
  </si>
  <si>
    <t>Compact granny</t>
  </si>
  <si>
    <t>Sun Tour Compact granny (Obsolete)</t>
  </si>
  <si>
    <t>TA Cyclotouriste, Criterium, Lambert, Shimano Deore, others: attachment for outer chainring; 7 mm holes.</t>
  </si>
  <si>
    <t>Campagnolo CT inner/middle/outer with one bolt at 2mm larger diameter behind crank</t>
  </si>
  <si>
    <t>31; 36</t>
  </si>
  <si>
    <t>n/a</t>
  </si>
  <si>
    <t>To bottom of gap</t>
  </si>
  <si>
    <t>32T</t>
  </si>
  <si>
    <t>Gap to BCD</t>
  </si>
  <si>
    <t>Real bottom of gap</t>
  </si>
  <si>
    <t>Ratio</t>
  </si>
  <si>
    <t>30T E</t>
  </si>
  <si>
    <t xml:space="preserve"> </t>
  </si>
  <si>
    <t>30T lscpe</t>
  </si>
  <si>
    <t>28T Sil</t>
  </si>
  <si>
    <t>28T Blk</t>
  </si>
  <si>
    <t>30T front</t>
  </si>
  <si>
    <t>30T ptrt</t>
  </si>
  <si>
    <t>34T</t>
  </si>
  <si>
    <t>Total</t>
  </si>
  <si>
    <t>Scaled to gap</t>
  </si>
  <si>
    <t>Averages</t>
  </si>
  <si>
    <t>Average</t>
  </si>
  <si>
    <t>Spacing</t>
  </si>
  <si>
    <t>Adjusted</t>
  </si>
  <si>
    <t>Wolf Tooth "CAMO", requires Wolf Tooth spider. See CAMO sheet.</t>
  </si>
  <si>
    <t>3 and 6 bolt</t>
  </si>
  <si>
    <t>?</t>
  </si>
  <si>
    <t>Between holes 60° apart (mm), 6-bolt</t>
  </si>
  <si>
    <t>Smallest ring</t>
  </si>
  <si>
    <t>Application</t>
  </si>
  <si>
    <t>Several very old Euro models</t>
  </si>
  <si>
    <t>TA Criterium bolts between outer chainwheel and others.</t>
  </si>
  <si>
    <t>Lambert. Inner ring threaded.</t>
  </si>
  <si>
    <t>Campagnolo Grand Sport inner</t>
  </si>
  <si>
    <t>TA Professional (10 mm holes), many old Euro steel cranks</t>
  </si>
  <si>
    <t>Takagi</t>
  </si>
  <si>
    <t>Sugino Maxy, others w/8mm holes, SR Apex w/10mm holes.</t>
  </si>
  <si>
    <t>Shimano 600, 310</t>
  </si>
  <si>
    <t>Nicklin, Cross, Williams</t>
  </si>
  <si>
    <t>SR Custom 3</t>
  </si>
  <si>
    <t>TA Cyclotouriste, Lambert: bolts between outer chainwheel and others.</t>
  </si>
  <si>
    <t>Between holes 120° apart (mm)</t>
  </si>
  <si>
    <t>4-bolt</t>
  </si>
  <si>
    <t>SRAM Apex 1. Angles assumed to be 72,108. shimano is 70, 110.</t>
  </si>
  <si>
    <t>Clockwise from longest side, front.</t>
  </si>
  <si>
    <t>Shimano compact triple cranksets models M782, M672, M622, M612; FSA Powerbox MTB</t>
  </si>
  <si>
    <t>Shimano XT, LX 4-arm outer 12 SPD, Sugino MX350. FSA 48/36T Some threaded. See RaceFace compatibility table.</t>
  </si>
  <si>
    <t>Shimano XTR M960, XT, LX 4-arm inner, FSA 48/36T. See RaceFace compatibility table.</t>
  </si>
  <si>
    <t>FSA Pro MTB 386, Comet 386 MTB</t>
  </si>
  <si>
    <t>René Herse, 10mm holes.</t>
  </si>
  <si>
    <t>FSA 76</t>
  </si>
  <si>
    <t>Ratio of BCD</t>
  </si>
  <si>
    <t>Hole span</t>
  </si>
  <si>
    <t>Measured radius, cm</t>
  </si>
  <si>
    <t>Angle</t>
  </si>
  <si>
    <t>hole span/ radius</t>
  </si>
  <si>
    <t>Adjusted hole span</t>
  </si>
  <si>
    <t>Adjusted angle</t>
  </si>
  <si>
    <t>SL-K MTB MTS</t>
  </si>
  <si>
    <t>After-burner</t>
  </si>
  <si>
    <t>Comet</t>
  </si>
  <si>
    <t>FSA Afterburner, Comet, K-Korce, SLK MTB ABS</t>
  </si>
  <si>
    <t>K-Force</t>
  </si>
  <si>
    <t>Totals</t>
  </si>
  <si>
    <t>FSA: K-Force Modular Supercompact, Omega Pro, Powerbox Supercompact Stealth,  Road Modular, Vero Pro</t>
  </si>
  <si>
    <t>FSA Comet MTB Modular, Comet triple, K-Force Modular, SL-K MTB Modular, V-Drive MTB Modular</t>
  </si>
  <si>
    <t>FSA 96/68 SLK MTB ABS</t>
  </si>
  <si>
    <t>SRAM 2x10 and XX, threaded. FSA Omega Pro</t>
  </si>
  <si>
    <t>FSA 96</t>
  </si>
  <si>
    <t>FSA 68</t>
  </si>
  <si>
    <t>Gossamer</t>
  </si>
  <si>
    <t>Torno</t>
  </si>
  <si>
    <t>Torno, big</t>
  </si>
  <si>
    <t>Shimano XTR M950, M952 4-arm middle/outer, Campagnolo inner</t>
  </si>
  <si>
    <t>FSA K-Force ABS 5H; 4-bolt with extra bolt behind crank. Outer chainwheel threaded.</t>
  </si>
  <si>
    <t>FSA Gossamer ABS, K-Force ABS 4H, Powerbox, SL-K ABS</t>
  </si>
  <si>
    <t>FSA K-Force Light, Vero Pro</t>
  </si>
  <si>
    <t>4 bolt uneven</t>
  </si>
  <si>
    <t>4-bolt even</t>
  </si>
  <si>
    <t>Adjacent (Calcu-lated if 90 deg.)</t>
  </si>
  <si>
    <t>TA Randonneur: bolts between outer chainwheel and others.</t>
  </si>
  <si>
    <t>W</t>
  </si>
  <si>
    <t>Campag</t>
  </si>
  <si>
    <t>Tooth count</t>
  </si>
  <si>
    <t>Bottom of gap, +0, - 0.60</t>
  </si>
  <si>
    <t>Bottom of gap, +0, - .023</t>
  </si>
  <si>
    <t>Pitch diam., inches</t>
  </si>
  <si>
    <t>Pitch diam., mm</t>
  </si>
  <si>
    <t>Diam. Of roller, mm</t>
  </si>
  <si>
    <t>diam. Of roller, in.</t>
  </si>
  <si>
    <t>chain pitch, in</t>
  </si>
  <si>
    <t>Chain pitch, mm</t>
  </si>
  <si>
    <t>SRAM X-Sync</t>
  </si>
  <si>
    <t>Measured radius, mm</t>
  </si>
  <si>
    <t>Chorus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</si>
</sst>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/>
    <xf numFmtId="0" fontId="0" fillId="0" borderId="0" xfId="0" applyAlignment="1"/>
    <xf numFmtId="4" fontId="0" fillId="0" borderId="0" xfId="0" applyNumberFormat="1"/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NumberFormat="1" applyAlignment="1">
      <alignment wrapText="1"/>
    </xf>
    <xf numFmtId="166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B1" workbookViewId="0">
      <selection activeCell="L4" sqref="L4"/>
    </sheetView>
  </sheetViews>
  <sheetFormatPr defaultRowHeight="15" x14ac:dyDescent="0.25"/>
  <sheetData>
    <row r="1" spans="1:10" s="29" customFormat="1" ht="45" x14ac:dyDescent="0.25">
      <c r="A1" s="29" t="s">
        <v>134</v>
      </c>
      <c r="B1" s="29" t="s">
        <v>137</v>
      </c>
      <c r="C1" s="29" t="s">
        <v>136</v>
      </c>
      <c r="D1" s="29" t="s">
        <v>138</v>
      </c>
      <c r="E1" s="29" t="s">
        <v>135</v>
      </c>
      <c r="G1" s="29" t="s">
        <v>141</v>
      </c>
      <c r="H1" s="29" t="s">
        <v>142</v>
      </c>
      <c r="I1" s="29" t="s">
        <v>139</v>
      </c>
      <c r="J1" s="29" t="s">
        <v>140</v>
      </c>
    </row>
    <row r="2" spans="1:10" x14ac:dyDescent="0.25">
      <c r="A2">
        <v>9</v>
      </c>
      <c r="B2" s="30">
        <f>G$2/SIN(PI()/A2)</f>
        <v>1.4619022000815438</v>
      </c>
      <c r="C2" s="30">
        <f t="shared" ref="C2:C33" si="0">B2-$J$2</f>
        <v>1.1567840898453232</v>
      </c>
      <c r="D2" s="6">
        <f>B2*25.4</f>
        <v>37.132315882071211</v>
      </c>
      <c r="E2" s="6">
        <f>D2-I$2</f>
        <v>29.382315882071211</v>
      </c>
      <c r="G2">
        <v>0.5</v>
      </c>
      <c r="H2">
        <f>G2*25.4</f>
        <v>12.7</v>
      </c>
      <c r="I2">
        <f>7.75</f>
        <v>7.75</v>
      </c>
      <c r="J2" s="30">
        <f>I2/25.4</f>
        <v>0.30511811023622049</v>
      </c>
    </row>
    <row r="3" spans="1:10" x14ac:dyDescent="0.25">
      <c r="A3">
        <v>10</v>
      </c>
      <c r="B3" s="30">
        <f t="shared" ref="B3:B65" si="1">G$2/SIN(PI()/A3)</f>
        <v>1.6180339887498949</v>
      </c>
      <c r="C3" s="30">
        <f t="shared" si="0"/>
        <v>1.3129158785136745</v>
      </c>
      <c r="D3" s="6">
        <f t="shared" ref="D3:D65" si="2">B3*25.4</f>
        <v>41.098063314247327</v>
      </c>
      <c r="E3" s="6">
        <f t="shared" ref="E3:E65" si="3">D3-I$2</f>
        <v>33.348063314247327</v>
      </c>
    </row>
    <row r="4" spans="1:10" x14ac:dyDescent="0.25">
      <c r="A4">
        <v>11</v>
      </c>
      <c r="B4" s="30">
        <f t="shared" si="1"/>
        <v>1.7747327664421118</v>
      </c>
      <c r="C4" s="30">
        <f t="shared" si="0"/>
        <v>1.4696146562058914</v>
      </c>
      <c r="D4" s="6">
        <f t="shared" si="2"/>
        <v>45.078212267629638</v>
      </c>
      <c r="E4" s="6">
        <f t="shared" si="3"/>
        <v>37.328212267629638</v>
      </c>
    </row>
    <row r="5" spans="1:10" x14ac:dyDescent="0.25">
      <c r="A5">
        <v>12</v>
      </c>
      <c r="B5" s="30">
        <f t="shared" si="1"/>
        <v>1.9318516525781368</v>
      </c>
      <c r="C5" s="30">
        <f t="shared" si="0"/>
        <v>1.6267335423419165</v>
      </c>
      <c r="D5" s="6">
        <f t="shared" si="2"/>
        <v>49.06903197548467</v>
      </c>
      <c r="E5" s="6">
        <f t="shared" si="3"/>
        <v>41.31903197548467</v>
      </c>
    </row>
    <row r="6" spans="1:10" x14ac:dyDescent="0.25">
      <c r="A6">
        <v>13</v>
      </c>
      <c r="B6" s="30">
        <f t="shared" si="1"/>
        <v>2.0892907344301888</v>
      </c>
      <c r="C6" s="30">
        <f t="shared" si="0"/>
        <v>1.7841726241939684</v>
      </c>
      <c r="D6" s="6">
        <f t="shared" si="2"/>
        <v>53.067984654526789</v>
      </c>
      <c r="E6" s="6">
        <f t="shared" si="3"/>
        <v>45.317984654526789</v>
      </c>
    </row>
    <row r="7" spans="1:10" x14ac:dyDescent="0.25">
      <c r="A7">
        <v>14</v>
      </c>
      <c r="B7" s="30">
        <f t="shared" si="1"/>
        <v>2.2469796037174672</v>
      </c>
      <c r="C7" s="30">
        <f t="shared" si="0"/>
        <v>1.9418614934812468</v>
      </c>
      <c r="D7" s="6">
        <f t="shared" si="2"/>
        <v>57.073281934423662</v>
      </c>
      <c r="E7" s="6">
        <f t="shared" si="3"/>
        <v>49.323281934423662</v>
      </c>
    </row>
    <row r="8" spans="1:10" x14ac:dyDescent="0.25">
      <c r="A8">
        <v>15</v>
      </c>
      <c r="B8" s="30">
        <f t="shared" si="1"/>
        <v>2.4048671723720658</v>
      </c>
      <c r="C8" s="30">
        <f t="shared" si="0"/>
        <v>2.0997490621358454</v>
      </c>
      <c r="D8" s="6">
        <f t="shared" si="2"/>
        <v>61.083626178250469</v>
      </c>
      <c r="E8" s="6">
        <f t="shared" si="3"/>
        <v>53.333626178250469</v>
      </c>
    </row>
    <row r="9" spans="1:10" x14ac:dyDescent="0.25">
      <c r="A9">
        <v>16</v>
      </c>
      <c r="B9" s="30">
        <f t="shared" si="1"/>
        <v>2.5629154477415064</v>
      </c>
      <c r="C9" s="30">
        <f t="shared" si="0"/>
        <v>2.257797337505286</v>
      </c>
      <c r="D9" s="6">
        <f t="shared" si="2"/>
        <v>65.098052372634257</v>
      </c>
      <c r="E9" s="6">
        <f t="shared" si="3"/>
        <v>57.348052372634257</v>
      </c>
    </row>
    <row r="10" spans="1:10" x14ac:dyDescent="0.25">
      <c r="A10">
        <v>17</v>
      </c>
      <c r="B10" s="30">
        <f t="shared" si="1"/>
        <v>2.721095575875903</v>
      </c>
      <c r="C10" s="30">
        <f t="shared" si="0"/>
        <v>2.4159774656396826</v>
      </c>
      <c r="D10" s="6">
        <f t="shared" si="2"/>
        <v>69.115827627247938</v>
      </c>
      <c r="E10" s="6">
        <f t="shared" si="3"/>
        <v>61.365827627247938</v>
      </c>
    </row>
    <row r="11" spans="1:10" x14ac:dyDescent="0.25">
      <c r="A11">
        <v>18</v>
      </c>
      <c r="B11" s="30">
        <f t="shared" si="1"/>
        <v>2.8793852415718169</v>
      </c>
      <c r="C11" s="30">
        <f t="shared" si="0"/>
        <v>2.5742671313355965</v>
      </c>
      <c r="D11" s="6">
        <f t="shared" si="2"/>
        <v>73.136385135924144</v>
      </c>
      <c r="E11" s="6">
        <f t="shared" si="3"/>
        <v>65.386385135924144</v>
      </c>
    </row>
    <row r="12" spans="1:10" x14ac:dyDescent="0.25">
      <c r="A12">
        <v>19</v>
      </c>
      <c r="B12" s="30">
        <f t="shared" si="1"/>
        <v>3.0377669104871301</v>
      </c>
      <c r="C12" s="30">
        <f t="shared" si="0"/>
        <v>2.7326488002509097</v>
      </c>
      <c r="D12" s="6">
        <f t="shared" si="2"/>
        <v>77.159279526373098</v>
      </c>
      <c r="E12" s="6">
        <f t="shared" si="3"/>
        <v>69.409279526373098</v>
      </c>
    </row>
    <row r="13" spans="1:10" x14ac:dyDescent="0.25">
      <c r="A13">
        <v>20</v>
      </c>
      <c r="B13" s="30">
        <f t="shared" si="1"/>
        <v>3.1962266107498309</v>
      </c>
      <c r="C13" s="30">
        <f t="shared" si="0"/>
        <v>2.8911085005136106</v>
      </c>
      <c r="D13" s="6">
        <f t="shared" si="2"/>
        <v>81.1841559130457</v>
      </c>
      <c r="E13" s="6">
        <f t="shared" si="3"/>
        <v>73.4341559130457</v>
      </c>
    </row>
    <row r="14" spans="1:10" x14ac:dyDescent="0.25">
      <c r="A14">
        <v>21</v>
      </c>
      <c r="B14" s="30">
        <f t="shared" si="1"/>
        <v>3.354753069904199</v>
      </c>
      <c r="C14" s="30">
        <f t="shared" si="0"/>
        <v>3.0496349596679786</v>
      </c>
      <c r="D14" s="6">
        <f t="shared" si="2"/>
        <v>85.210727975566655</v>
      </c>
      <c r="E14" s="6">
        <f t="shared" si="3"/>
        <v>77.460727975566655</v>
      </c>
    </row>
    <row r="15" spans="1:10" x14ac:dyDescent="0.25">
      <c r="A15">
        <v>22</v>
      </c>
      <c r="B15" s="30">
        <f t="shared" si="1"/>
        <v>3.5133370916661351</v>
      </c>
      <c r="C15" s="30">
        <f t="shared" si="0"/>
        <v>3.2082189814299147</v>
      </c>
      <c r="D15" s="6">
        <f t="shared" si="2"/>
        <v>89.23876212831982</v>
      </c>
      <c r="E15" s="6">
        <f t="shared" si="3"/>
        <v>81.48876212831982</v>
      </c>
    </row>
    <row r="16" spans="1:10" x14ac:dyDescent="0.25">
      <c r="A16">
        <v>23</v>
      </c>
      <c r="B16" s="30">
        <f t="shared" si="1"/>
        <v>3.671971098051956</v>
      </c>
      <c r="C16" s="30">
        <f t="shared" si="0"/>
        <v>3.3668529878157356</v>
      </c>
      <c r="D16" s="6">
        <f t="shared" si="2"/>
        <v>93.268065890519679</v>
      </c>
      <c r="E16" s="6">
        <f t="shared" si="3"/>
        <v>85.518065890519679</v>
      </c>
    </row>
    <row r="17" spans="1:5" x14ac:dyDescent="0.25">
      <c r="A17">
        <v>24</v>
      </c>
      <c r="B17" s="30">
        <f t="shared" si="1"/>
        <v>3.8306487877701949</v>
      </c>
      <c r="C17" s="30">
        <f t="shared" si="0"/>
        <v>3.5255306775339745</v>
      </c>
      <c r="D17" s="6">
        <f t="shared" si="2"/>
        <v>97.298479209362952</v>
      </c>
      <c r="E17" s="6">
        <f t="shared" si="3"/>
        <v>89.548479209362952</v>
      </c>
    </row>
    <row r="18" spans="1:5" x14ac:dyDescent="0.25">
      <c r="A18">
        <v>25</v>
      </c>
      <c r="B18" s="30">
        <f t="shared" si="1"/>
        <v>3.9893648777797379</v>
      </c>
      <c r="C18" s="30">
        <f t="shared" si="0"/>
        <v>3.6842467675435175</v>
      </c>
      <c r="D18" s="6">
        <f t="shared" si="2"/>
        <v>101.32986789560533</v>
      </c>
      <c r="E18" s="6">
        <f t="shared" si="3"/>
        <v>93.579867895605332</v>
      </c>
    </row>
    <row r="19" spans="1:5" x14ac:dyDescent="0.25">
      <c r="A19">
        <v>26</v>
      </c>
      <c r="B19" s="30">
        <f t="shared" si="1"/>
        <v>4.1481149052793773</v>
      </c>
      <c r="C19" s="30">
        <f t="shared" si="0"/>
        <v>3.8429967950431569</v>
      </c>
      <c r="D19" s="6">
        <f t="shared" si="2"/>
        <v>105.36211859409617</v>
      </c>
      <c r="E19" s="6">
        <f t="shared" si="3"/>
        <v>97.612118594096174</v>
      </c>
    </row>
    <row r="20" spans="1:5" x14ac:dyDescent="0.25">
      <c r="A20">
        <v>27</v>
      </c>
      <c r="B20" s="30">
        <f t="shared" si="1"/>
        <v>4.3068950742389545</v>
      </c>
      <c r="C20" s="30">
        <f t="shared" si="0"/>
        <v>4.0017769640027341</v>
      </c>
      <c r="D20" s="6">
        <f t="shared" si="2"/>
        <v>109.39513488566944</v>
      </c>
      <c r="E20" s="6">
        <f t="shared" si="3"/>
        <v>101.64513488566944</v>
      </c>
    </row>
    <row r="21" spans="1:5" x14ac:dyDescent="0.25">
      <c r="A21">
        <v>28</v>
      </c>
      <c r="B21" s="30">
        <f t="shared" si="1"/>
        <v>4.4657021351902531</v>
      </c>
      <c r="C21" s="30">
        <f t="shared" si="0"/>
        <v>4.1605840249540327</v>
      </c>
      <c r="D21" s="6">
        <f t="shared" si="2"/>
        <v>113.42883423383242</v>
      </c>
      <c r="E21" s="6">
        <f t="shared" si="3"/>
        <v>105.67883423383242</v>
      </c>
    </row>
    <row r="22" spans="1:5" x14ac:dyDescent="0.25">
      <c r="A22">
        <v>29</v>
      </c>
      <c r="B22" s="30">
        <f t="shared" si="1"/>
        <v>4.6245332901512954</v>
      </c>
      <c r="C22" s="30">
        <f t="shared" si="0"/>
        <v>4.3194151799150751</v>
      </c>
      <c r="D22" s="6">
        <f t="shared" si="2"/>
        <v>117.46314556984289</v>
      </c>
      <c r="E22" s="6">
        <f t="shared" si="3"/>
        <v>109.71314556984289</v>
      </c>
    </row>
    <row r="23" spans="1:5" x14ac:dyDescent="0.25">
      <c r="A23">
        <v>30</v>
      </c>
      <c r="B23" s="30">
        <f t="shared" si="1"/>
        <v>4.7833861167528138</v>
      </c>
      <c r="C23" s="30">
        <f t="shared" si="0"/>
        <v>4.4782680065165934</v>
      </c>
      <c r="D23" s="6">
        <f t="shared" si="2"/>
        <v>121.49800736552146</v>
      </c>
      <c r="E23" s="6">
        <f t="shared" si="3"/>
        <v>113.74800736552146</v>
      </c>
    </row>
    <row r="24" spans="1:5" x14ac:dyDescent="0.25">
      <c r="A24">
        <v>31</v>
      </c>
      <c r="B24" s="30">
        <f t="shared" si="1"/>
        <v>4.9422585071848228</v>
      </c>
      <c r="C24" s="30">
        <f t="shared" si="0"/>
        <v>4.6371403969486025</v>
      </c>
      <c r="D24" s="6">
        <f t="shared" si="2"/>
        <v>125.5333660824945</v>
      </c>
      <c r="E24" s="6">
        <f t="shared" si="3"/>
        <v>117.7833660824945</v>
      </c>
    </row>
    <row r="25" spans="1:5" x14ac:dyDescent="0.25">
      <c r="A25">
        <v>32</v>
      </c>
      <c r="B25" s="30">
        <f t="shared" si="1"/>
        <v>5.1011486186891641</v>
      </c>
      <c r="C25" s="30">
        <f t="shared" si="0"/>
        <v>4.7960305084529438</v>
      </c>
      <c r="D25" s="6">
        <f t="shared" si="2"/>
        <v>129.56917491470477</v>
      </c>
      <c r="E25" s="6">
        <f t="shared" si="3"/>
        <v>121.81917491470477</v>
      </c>
    </row>
    <row r="26" spans="1:5" x14ac:dyDescent="0.25">
      <c r="A26">
        <v>33</v>
      </c>
      <c r="B26" s="30">
        <f t="shared" si="1"/>
        <v>5.260054833125996</v>
      </c>
      <c r="C26" s="30">
        <f t="shared" si="0"/>
        <v>4.9549367228897756</v>
      </c>
      <c r="D26" s="6">
        <f t="shared" si="2"/>
        <v>133.60539276140028</v>
      </c>
      <c r="E26" s="6">
        <f t="shared" si="3"/>
        <v>125.85539276140028</v>
      </c>
    </row>
    <row r="27" spans="1:5" x14ac:dyDescent="0.25">
      <c r="A27">
        <v>34</v>
      </c>
      <c r="B27" s="30">
        <f t="shared" si="1"/>
        <v>5.4189757237297105</v>
      </c>
      <c r="C27" s="30">
        <f t="shared" si="0"/>
        <v>5.1138576134934901</v>
      </c>
      <c r="D27" s="6">
        <f t="shared" si="2"/>
        <v>137.64198338273465</v>
      </c>
      <c r="E27" s="6">
        <f t="shared" si="3"/>
        <v>129.89198338273465</v>
      </c>
    </row>
    <row r="28" spans="1:5" x14ac:dyDescent="0.25">
      <c r="A28">
        <v>35</v>
      </c>
      <c r="B28" s="30">
        <f t="shared" si="1"/>
        <v>5.5779100276045108</v>
      </c>
      <c r="C28" s="30">
        <f t="shared" si="0"/>
        <v>5.2727919173682904</v>
      </c>
      <c r="D28" s="6">
        <f t="shared" si="2"/>
        <v>141.67891470115455</v>
      </c>
      <c r="E28" s="6">
        <f t="shared" si="3"/>
        <v>133.92891470115455</v>
      </c>
    </row>
    <row r="29" spans="1:5" x14ac:dyDescent="0.25">
      <c r="A29">
        <v>36</v>
      </c>
      <c r="B29" s="30">
        <f t="shared" si="1"/>
        <v>5.736856622834928</v>
      </c>
      <c r="C29" s="30">
        <f t="shared" si="0"/>
        <v>5.4317385125987077</v>
      </c>
      <c r="D29" s="6">
        <f t="shared" si="2"/>
        <v>145.71615822000717</v>
      </c>
      <c r="E29" s="6">
        <f t="shared" si="3"/>
        <v>137.96615822000717</v>
      </c>
    </row>
    <row r="30" spans="1:5" x14ac:dyDescent="0.25">
      <c r="A30">
        <v>37</v>
      </c>
      <c r="B30" s="30">
        <f t="shared" si="1"/>
        <v>5.8958145093317542</v>
      </c>
      <c r="C30" s="30">
        <f t="shared" si="0"/>
        <v>5.5906963990955338</v>
      </c>
      <c r="D30" s="6">
        <f t="shared" si="2"/>
        <v>149.75368853702656</v>
      </c>
      <c r="E30" s="6">
        <f t="shared" si="3"/>
        <v>142.00368853702656</v>
      </c>
    </row>
    <row r="31" spans="1:5" x14ac:dyDescent="0.25">
      <c r="A31">
        <v>38</v>
      </c>
      <c r="B31" s="30">
        <f t="shared" si="1"/>
        <v>6.0547827927205082</v>
      </c>
      <c r="C31" s="30">
        <f t="shared" si="0"/>
        <v>5.7496646824842879</v>
      </c>
      <c r="D31" s="6">
        <f t="shared" si="2"/>
        <v>153.7914829351009</v>
      </c>
      <c r="E31" s="6">
        <f t="shared" si="3"/>
        <v>146.0414829351009</v>
      </c>
    </row>
    <row r="32" spans="1:5" x14ac:dyDescent="0.25">
      <c r="A32">
        <v>39</v>
      </c>
      <c r="B32" s="30">
        <f t="shared" si="1"/>
        <v>6.2137606707227393</v>
      </c>
      <c r="C32" s="30">
        <f t="shared" si="0"/>
        <v>5.9086425604865189</v>
      </c>
      <c r="D32" s="6">
        <f t="shared" si="2"/>
        <v>157.82952103635756</v>
      </c>
      <c r="E32" s="6">
        <f t="shared" si="3"/>
        <v>150.07952103635756</v>
      </c>
    </row>
    <row r="33" spans="1:5" x14ac:dyDescent="0.25">
      <c r="A33">
        <v>40</v>
      </c>
      <c r="B33" s="30">
        <f t="shared" si="1"/>
        <v>6.3727474215911872</v>
      </c>
      <c r="C33" s="30">
        <f t="shared" si="0"/>
        <v>6.0676293113549669</v>
      </c>
      <c r="D33" s="6">
        <f t="shared" si="2"/>
        <v>161.86778450841615</v>
      </c>
      <c r="E33" s="6">
        <f t="shared" si="3"/>
        <v>154.11778450841615</v>
      </c>
    </row>
    <row r="34" spans="1:5" x14ac:dyDescent="0.25">
      <c r="A34">
        <v>41</v>
      </c>
      <c r="B34" s="30">
        <f t="shared" si="1"/>
        <v>6.5317423942460717</v>
      </c>
      <c r="C34" s="30">
        <f t="shared" ref="C34:C65" si="4">B34-$J$2</f>
        <v>6.2266242840098514</v>
      </c>
      <c r="D34" s="6">
        <f t="shared" si="2"/>
        <v>165.90625681385021</v>
      </c>
      <c r="E34" s="6">
        <f t="shared" si="3"/>
        <v>158.15625681385021</v>
      </c>
    </row>
    <row r="35" spans="1:5" x14ac:dyDescent="0.25">
      <c r="A35">
        <v>42</v>
      </c>
      <c r="B35" s="30">
        <f t="shared" si="1"/>
        <v>6.6907449998273769</v>
      </c>
      <c r="C35" s="30">
        <f t="shared" si="4"/>
        <v>6.3856268895911565</v>
      </c>
      <c r="D35" s="6">
        <f t="shared" si="2"/>
        <v>169.94492299561537</v>
      </c>
      <c r="E35" s="6">
        <f t="shared" si="3"/>
        <v>162.19492299561537</v>
      </c>
    </row>
    <row r="36" spans="1:5" x14ac:dyDescent="0.25">
      <c r="A36">
        <v>43</v>
      </c>
      <c r="B36" s="30">
        <f t="shared" si="1"/>
        <v>6.8497547044313771</v>
      </c>
      <c r="C36" s="30">
        <f t="shared" si="4"/>
        <v>6.5446365941951568</v>
      </c>
      <c r="D36" s="6">
        <f t="shared" si="2"/>
        <v>173.98376949255697</v>
      </c>
      <c r="E36" s="6">
        <f t="shared" si="3"/>
        <v>166.23376949255697</v>
      </c>
    </row>
    <row r="37" spans="1:5" x14ac:dyDescent="0.25">
      <c r="A37">
        <v>44</v>
      </c>
      <c r="B37" s="30">
        <f t="shared" si="1"/>
        <v>7.0087710228420494</v>
      </c>
      <c r="C37" s="30">
        <f t="shared" si="4"/>
        <v>6.7036529126058291</v>
      </c>
      <c r="D37" s="6">
        <f t="shared" si="2"/>
        <v>178.02278398018805</v>
      </c>
      <c r="E37" s="6">
        <f t="shared" si="3"/>
        <v>170.27278398018805</v>
      </c>
    </row>
    <row r="38" spans="1:5" x14ac:dyDescent="0.25">
      <c r="A38">
        <v>45</v>
      </c>
      <c r="B38" s="30">
        <f t="shared" si="1"/>
        <v>7.167793513101838</v>
      </c>
      <c r="C38" s="30">
        <f t="shared" si="4"/>
        <v>6.8626754028656176</v>
      </c>
      <c r="D38" s="6">
        <f t="shared" si="2"/>
        <v>182.06195523278669</v>
      </c>
      <c r="E38" s="6">
        <f t="shared" si="3"/>
        <v>174.31195523278669</v>
      </c>
    </row>
    <row r="39" spans="1:5" x14ac:dyDescent="0.25">
      <c r="A39">
        <v>46</v>
      </c>
      <c r="B39" s="30">
        <f t="shared" si="1"/>
        <v>7.3268217717934556</v>
      </c>
      <c r="C39" s="30">
        <f t="shared" si="4"/>
        <v>7.0217036615572352</v>
      </c>
      <c r="D39" s="6">
        <f t="shared" si="2"/>
        <v>186.10127300355376</v>
      </c>
      <c r="E39" s="6">
        <f t="shared" si="3"/>
        <v>178.35127300355376</v>
      </c>
    </row>
    <row r="40" spans="1:5" x14ac:dyDescent="0.25">
      <c r="A40">
        <v>47</v>
      </c>
      <c r="B40" s="30">
        <f t="shared" si="1"/>
        <v>7.4858554299263478</v>
      </c>
      <c r="C40" s="30">
        <f t="shared" si="4"/>
        <v>7.1807373196901274</v>
      </c>
      <c r="D40" s="6">
        <f t="shared" si="2"/>
        <v>190.14072792012922</v>
      </c>
      <c r="E40" s="6">
        <f t="shared" si="3"/>
        <v>182.39072792012922</v>
      </c>
    </row>
    <row r="41" spans="1:5" x14ac:dyDescent="0.25">
      <c r="A41">
        <v>48</v>
      </c>
      <c r="B41" s="30">
        <f t="shared" si="1"/>
        <v>7.6448941493392564</v>
      </c>
      <c r="C41" s="30">
        <f t="shared" si="4"/>
        <v>7.339776039103036</v>
      </c>
      <c r="D41" s="6">
        <f t="shared" si="2"/>
        <v>194.1803113932171</v>
      </c>
      <c r="E41" s="6">
        <f t="shared" si="3"/>
        <v>186.4303113932171</v>
      </c>
    </row>
    <row r="42" spans="1:5" x14ac:dyDescent="0.25">
      <c r="A42">
        <v>49</v>
      </c>
      <c r="B42" s="30">
        <f t="shared" si="1"/>
        <v>7.8039376195448558</v>
      </c>
      <c r="C42" s="30">
        <f t="shared" si="4"/>
        <v>7.4988195093086354</v>
      </c>
      <c r="D42" s="6">
        <f t="shared" si="2"/>
        <v>198.22001553643932</v>
      </c>
      <c r="E42" s="6">
        <f t="shared" si="3"/>
        <v>190.47001553643932</v>
      </c>
    </row>
    <row r="43" spans="1:5" x14ac:dyDescent="0.25">
      <c r="A43">
        <v>50</v>
      </c>
      <c r="B43" s="30">
        <f t="shared" si="1"/>
        <v>7.9629855549543276</v>
      </c>
      <c r="C43" s="30">
        <f t="shared" si="4"/>
        <v>7.6578674447181072</v>
      </c>
      <c r="D43" s="6">
        <f t="shared" si="2"/>
        <v>202.25983309583992</v>
      </c>
      <c r="E43" s="6">
        <f t="shared" si="3"/>
        <v>194.50983309583992</v>
      </c>
    </row>
    <row r="44" spans="1:5" x14ac:dyDescent="0.25">
      <c r="A44">
        <v>51</v>
      </c>
      <c r="B44" s="30">
        <f t="shared" si="1"/>
        <v>8.1220376924295312</v>
      </c>
      <c r="C44" s="30">
        <f t="shared" si="4"/>
        <v>7.8169195821933108</v>
      </c>
      <c r="D44" s="6">
        <f t="shared" si="2"/>
        <v>206.29975738771009</v>
      </c>
      <c r="E44" s="6">
        <f t="shared" si="3"/>
        <v>198.54975738771009</v>
      </c>
    </row>
    <row r="45" spans="1:5" x14ac:dyDescent="0.25">
      <c r="A45">
        <v>52</v>
      </c>
      <c r="B45" s="30">
        <f t="shared" si="1"/>
        <v>8.2810937891184935</v>
      </c>
      <c r="C45" s="30">
        <f t="shared" si="4"/>
        <v>7.9759756788822731</v>
      </c>
      <c r="D45" s="6">
        <f t="shared" si="2"/>
        <v>210.33978224360973</v>
      </c>
      <c r="E45" s="6">
        <f t="shared" si="3"/>
        <v>202.58978224360973</v>
      </c>
    </row>
    <row r="46" spans="1:5" x14ac:dyDescent="0.25">
      <c r="A46">
        <v>53</v>
      </c>
      <c r="B46" s="30">
        <f t="shared" si="1"/>
        <v>8.4401536205366998</v>
      </c>
      <c r="C46" s="30">
        <f t="shared" si="4"/>
        <v>8.1350355103004794</v>
      </c>
      <c r="D46" s="6">
        <f t="shared" si="2"/>
        <v>214.37990196163216</v>
      </c>
      <c r="E46" s="6">
        <f t="shared" si="3"/>
        <v>206.62990196163216</v>
      </c>
    </row>
    <row r="47" spans="1:5" x14ac:dyDescent="0.25">
      <c r="A47">
        <v>54</v>
      </c>
      <c r="B47" s="30">
        <f t="shared" si="1"/>
        <v>8.5992169788621755</v>
      </c>
      <c r="C47" s="30">
        <f t="shared" si="4"/>
        <v>8.2940988686259551</v>
      </c>
      <c r="D47" s="6">
        <f t="shared" si="2"/>
        <v>218.42011126309924</v>
      </c>
      <c r="E47" s="6">
        <f t="shared" si="3"/>
        <v>210.67011126309924</v>
      </c>
    </row>
    <row r="48" spans="1:5" x14ac:dyDescent="0.25">
      <c r="A48">
        <v>55</v>
      </c>
      <c r="B48" s="30">
        <f t="shared" si="1"/>
        <v>8.7582836714171002</v>
      </c>
      <c r="C48" s="30">
        <f t="shared" si="4"/>
        <v>8.4531655611808798</v>
      </c>
      <c r="D48" s="6">
        <f t="shared" si="2"/>
        <v>222.46040525399434</v>
      </c>
      <c r="E48" s="6">
        <f t="shared" si="3"/>
        <v>214.71040525399434</v>
      </c>
    </row>
    <row r="49" spans="1:5" x14ac:dyDescent="0.25">
      <c r="A49">
        <v>56</v>
      </c>
      <c r="B49" s="30">
        <f t="shared" si="1"/>
        <v>8.9173535193125346</v>
      </c>
      <c r="C49" s="30">
        <f t="shared" si="4"/>
        <v>8.6122354090763142</v>
      </c>
      <c r="D49" s="6">
        <f t="shared" si="2"/>
        <v>226.50077939053836</v>
      </c>
      <c r="E49" s="6">
        <f t="shared" si="3"/>
        <v>218.75077939053836</v>
      </c>
    </row>
    <row r="50" spans="1:5" x14ac:dyDescent="0.25">
      <c r="A50">
        <v>57</v>
      </c>
      <c r="B50" s="30">
        <f t="shared" si="1"/>
        <v>9.0764263562361869</v>
      </c>
      <c r="C50" s="30">
        <f t="shared" si="4"/>
        <v>8.7713082459999665</v>
      </c>
      <c r="D50" s="6">
        <f t="shared" si="2"/>
        <v>230.54122944839912</v>
      </c>
      <c r="E50" s="6">
        <f t="shared" si="3"/>
        <v>222.79122944839912</v>
      </c>
    </row>
    <row r="51" spans="1:5" x14ac:dyDescent="0.25">
      <c r="A51">
        <v>58</v>
      </c>
      <c r="B51" s="30">
        <f t="shared" si="1"/>
        <v>9.2355020273658877</v>
      </c>
      <c r="C51" s="30">
        <f t="shared" si="4"/>
        <v>8.9303839171296673</v>
      </c>
      <c r="D51" s="6">
        <f t="shared" si="2"/>
        <v>234.58175149509353</v>
      </c>
      <c r="E51" s="6">
        <f t="shared" si="3"/>
        <v>226.83175149509353</v>
      </c>
    </row>
    <row r="52" spans="1:5" x14ac:dyDescent="0.25">
      <c r="A52">
        <v>59</v>
      </c>
      <c r="B52" s="30">
        <f t="shared" si="1"/>
        <v>9.3945803883938481</v>
      </c>
      <c r="C52" s="30">
        <f t="shared" si="4"/>
        <v>9.0894622781576278</v>
      </c>
      <c r="D52" s="6">
        <f t="shared" si="2"/>
        <v>238.62234186520374</v>
      </c>
      <c r="E52" s="6">
        <f t="shared" si="3"/>
        <v>230.87234186520374</v>
      </c>
    </row>
    <row r="53" spans="1:5" x14ac:dyDescent="0.25">
      <c r="A53">
        <v>60</v>
      </c>
      <c r="B53" s="30">
        <f t="shared" si="1"/>
        <v>9.5536613046486991</v>
      </c>
      <c r="C53" s="30">
        <f t="shared" si="4"/>
        <v>9.2485431944124787</v>
      </c>
      <c r="D53" s="6">
        <f t="shared" si="2"/>
        <v>242.66299713807695</v>
      </c>
      <c r="E53" s="6">
        <f t="shared" si="3"/>
        <v>234.91299713807695</v>
      </c>
    </row>
    <row r="54" spans="1:5" x14ac:dyDescent="0.25">
      <c r="A54">
        <v>61</v>
      </c>
      <c r="B54" s="30">
        <f t="shared" si="1"/>
        <v>9.7127446503041011</v>
      </c>
      <c r="C54" s="30">
        <f t="shared" si="4"/>
        <v>9.4076265400678807</v>
      </c>
      <c r="D54" s="6">
        <f t="shared" si="2"/>
        <v>246.70371411772416</v>
      </c>
      <c r="E54" s="6">
        <f t="shared" si="3"/>
        <v>238.95371411772416</v>
      </c>
    </row>
    <row r="55" spans="1:5" x14ac:dyDescent="0.25">
      <c r="A55">
        <v>62</v>
      </c>
      <c r="B55" s="30">
        <f t="shared" si="1"/>
        <v>9.8718303076640943</v>
      </c>
      <c r="C55" s="30">
        <f t="shared" si="4"/>
        <v>9.5667121974278739</v>
      </c>
      <c r="D55" s="6">
        <f t="shared" si="2"/>
        <v>250.74448981466799</v>
      </c>
      <c r="E55" s="6">
        <f t="shared" si="3"/>
        <v>242.99448981466799</v>
      </c>
    </row>
    <row r="56" spans="1:5" x14ac:dyDescent="0.25">
      <c r="A56">
        <v>63</v>
      </c>
      <c r="B56" s="30">
        <f t="shared" si="1"/>
        <v>10.03091816651667</v>
      </c>
      <c r="C56" s="30">
        <f t="shared" si="4"/>
        <v>9.7258000562804501</v>
      </c>
      <c r="D56" s="6">
        <f t="shared" si="2"/>
        <v>254.78532142952341</v>
      </c>
      <c r="E56" s="6">
        <f t="shared" si="3"/>
        <v>247.03532142952341</v>
      </c>
    </row>
    <row r="57" spans="1:5" x14ac:dyDescent="0.25">
      <c r="A57">
        <v>64</v>
      </c>
      <c r="B57" s="30">
        <f t="shared" si="1"/>
        <v>10.190008123548056</v>
      </c>
      <c r="C57" s="30">
        <f t="shared" si="4"/>
        <v>9.8848900133118356</v>
      </c>
      <c r="D57" s="6">
        <f t="shared" si="2"/>
        <v>258.82620633812058</v>
      </c>
      <c r="E57" s="6">
        <f t="shared" si="3"/>
        <v>251.07620633812058</v>
      </c>
    </row>
    <row r="58" spans="1:5" x14ac:dyDescent="0.25">
      <c r="A58">
        <v>65</v>
      </c>
      <c r="B58" s="30">
        <f t="shared" si="1"/>
        <v>10.349100081811185</v>
      </c>
      <c r="C58" s="30">
        <f t="shared" si="4"/>
        <v>10.043981971574965</v>
      </c>
      <c r="D58" s="6">
        <f t="shared" si="2"/>
        <v>262.86714207800406</v>
      </c>
      <c r="E58" s="6">
        <f t="shared" si="3"/>
        <v>255.11714207800406</v>
      </c>
    </row>
    <row r="59" spans="1:5" x14ac:dyDescent="0.25">
      <c r="A59">
        <v>66</v>
      </c>
      <c r="B59" s="30">
        <f t="shared" si="1"/>
        <v>10.508193950242571</v>
      </c>
      <c r="C59" s="30">
        <f t="shared" si="4"/>
        <v>10.203075840006351</v>
      </c>
      <c r="D59" s="6">
        <f t="shared" si="2"/>
        <v>266.90812633616127</v>
      </c>
      <c r="E59" s="6">
        <f t="shared" si="3"/>
        <v>259.15812633616127</v>
      </c>
    </row>
    <row r="60" spans="1:5" x14ac:dyDescent="0.25">
      <c r="A60">
        <v>67</v>
      </c>
      <c r="B60" s="30">
        <f t="shared" si="1"/>
        <v>10.667289643222535</v>
      </c>
      <c r="C60" s="30">
        <f t="shared" si="4"/>
        <v>10.362171532986315</v>
      </c>
      <c r="D60" s="6">
        <f t="shared" si="2"/>
        <v>270.94915693785236</v>
      </c>
      <c r="E60" s="6">
        <f t="shared" si="3"/>
        <v>263.19915693785236</v>
      </c>
    </row>
    <row r="61" spans="1:5" x14ac:dyDescent="0.25">
      <c r="A61">
        <v>68</v>
      </c>
      <c r="B61" s="30">
        <f t="shared" si="1"/>
        <v>10.826387080174317</v>
      </c>
      <c r="C61" s="30">
        <f t="shared" si="4"/>
        <v>10.521268969938097</v>
      </c>
      <c r="D61" s="6">
        <f t="shared" si="2"/>
        <v>274.99023183642765</v>
      </c>
      <c r="E61" s="6">
        <f t="shared" si="3"/>
        <v>267.24023183642765</v>
      </c>
    </row>
    <row r="62" spans="1:5" x14ac:dyDescent="0.25">
      <c r="A62">
        <v>69</v>
      </c>
      <c r="B62" s="30">
        <f t="shared" si="1"/>
        <v>10.985486185198079</v>
      </c>
      <c r="C62" s="30">
        <f t="shared" si="4"/>
        <v>10.680368074961859</v>
      </c>
      <c r="D62" s="6">
        <f t="shared" si="2"/>
        <v>279.03134910403116</v>
      </c>
      <c r="E62" s="6">
        <f t="shared" si="3"/>
        <v>271.28134910403116</v>
      </c>
    </row>
    <row r="63" spans="1:5" x14ac:dyDescent="0.25">
      <c r="A63">
        <v>70</v>
      </c>
      <c r="B63" s="30">
        <f t="shared" si="1"/>
        <v>11.144586886736358</v>
      </c>
      <c r="C63" s="30">
        <f t="shared" si="4"/>
        <v>10.839468776500137</v>
      </c>
      <c r="D63" s="6">
        <f t="shared" si="2"/>
        <v>283.07250692310345</v>
      </c>
      <c r="E63" s="6">
        <f t="shared" si="3"/>
        <v>275.32250692310345</v>
      </c>
    </row>
    <row r="64" spans="1:5" x14ac:dyDescent="0.25">
      <c r="A64">
        <v>71</v>
      </c>
      <c r="B64" s="30">
        <f t="shared" si="1"/>
        <v>11.30368911726784</v>
      </c>
      <c r="C64" s="30">
        <f t="shared" si="4"/>
        <v>10.99857100703162</v>
      </c>
      <c r="D64" s="6">
        <f t="shared" si="2"/>
        <v>287.11370357860312</v>
      </c>
      <c r="E64" s="6">
        <f t="shared" si="3"/>
        <v>279.36370357860312</v>
      </c>
    </row>
    <row r="65" spans="1:5" x14ac:dyDescent="0.25">
      <c r="A65">
        <v>72</v>
      </c>
      <c r="B65" s="30">
        <f t="shared" si="1"/>
        <v>11.462792813026674</v>
      </c>
      <c r="C65" s="30">
        <f t="shared" si="4"/>
        <v>11.157674702790453</v>
      </c>
      <c r="D65" s="6">
        <f t="shared" si="2"/>
        <v>291.15493745087753</v>
      </c>
      <c r="E65" s="6">
        <f t="shared" si="3"/>
        <v>283.40493745087753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5" x14ac:dyDescent="0.25"/>
  <cols>
    <col min="1" max="1" width="10" customWidth="1"/>
    <col min="2" max="2" width="11.5703125" style="6" customWidth="1"/>
    <col min="3" max="3" width="9.140625" style="20"/>
    <col min="5" max="5" width="7.7109375" style="6" customWidth="1"/>
    <col min="6" max="6" width="9.140625" style="1"/>
    <col min="8" max="8" width="9.140625" style="1"/>
  </cols>
  <sheetData>
    <row r="1" spans="1:8" x14ac:dyDescent="0.25">
      <c r="B1" s="6" t="s">
        <v>101</v>
      </c>
      <c r="C1" s="20" t="s">
        <v>1</v>
      </c>
    </row>
    <row r="2" spans="1:8" x14ac:dyDescent="0.25">
      <c r="C2" s="20">
        <v>110</v>
      </c>
    </row>
    <row r="3" spans="1:8" s="17" customFormat="1" ht="45" x14ac:dyDescent="0.25">
      <c r="A3" s="17" t="s">
        <v>121</v>
      </c>
      <c r="B3" s="7" t="s">
        <v>104</v>
      </c>
      <c r="C3" s="21" t="s">
        <v>102</v>
      </c>
      <c r="D3" s="17" t="s">
        <v>103</v>
      </c>
      <c r="E3" s="7" t="s">
        <v>106</v>
      </c>
      <c r="F3" s="16" t="s">
        <v>105</v>
      </c>
      <c r="G3" s="17" t="s">
        <v>108</v>
      </c>
      <c r="H3" s="16" t="s">
        <v>107</v>
      </c>
    </row>
    <row r="4" spans="1:8" x14ac:dyDescent="0.25">
      <c r="B4" s="6">
        <v>10.3</v>
      </c>
      <c r="C4" s="20">
        <f>10*B4/$C$2</f>
        <v>0.9363636363636364</v>
      </c>
      <c r="D4">
        <v>15.9</v>
      </c>
      <c r="E4" s="6">
        <f>D4/$B$8</f>
        <v>1.53437876960193</v>
      </c>
      <c r="F4" s="1">
        <f>2*DEGREES(ASIN((E4/2)))</f>
        <v>100.20432919158058</v>
      </c>
      <c r="G4">
        <v>100</v>
      </c>
      <c r="H4" s="1">
        <f>$C$2*SIN(RADIANS(G4/2))</f>
        <v>84.264888743087582</v>
      </c>
    </row>
    <row r="5" spans="1:8" x14ac:dyDescent="0.25">
      <c r="B5" s="6">
        <v>10.5</v>
      </c>
      <c r="C5" s="20">
        <f>10*B5/$C$2</f>
        <v>0.95454545454545459</v>
      </c>
      <c r="D5">
        <v>14.5</v>
      </c>
      <c r="E5" s="6">
        <f>D5/$B$8</f>
        <v>1.3992762364294329</v>
      </c>
      <c r="F5" s="1">
        <f>2*DEGREES(ASIN((E5/2)))</f>
        <v>88.795954761251792</v>
      </c>
      <c r="G5">
        <v>90</v>
      </c>
      <c r="H5" s="1">
        <f>$C$2*SIN(RADIANS(G5/2))</f>
        <v>77.781745930520216</v>
      </c>
    </row>
    <row r="6" spans="1:8" x14ac:dyDescent="0.25">
      <c r="B6" s="6">
        <v>10.45</v>
      </c>
      <c r="C6" s="20">
        <f>10*B6/$C$2</f>
        <v>0.95</v>
      </c>
      <c r="D6">
        <v>13</v>
      </c>
      <c r="E6" s="6">
        <f>D6/$B$8</f>
        <v>1.2545235223160434</v>
      </c>
      <c r="F6" s="1">
        <f>2*DEGREES(ASIN((E6/2)))</f>
        <v>77.696775867632212</v>
      </c>
      <c r="G6">
        <v>80</v>
      </c>
      <c r="H6" s="1">
        <f>$C$2*SIN(RADIANS(G6/2))</f>
        <v>70.706637065519317</v>
      </c>
    </row>
    <row r="7" spans="1:8" x14ac:dyDescent="0.25">
      <c r="B7" s="6">
        <v>10.199999999999999</v>
      </c>
      <c r="C7" s="20">
        <f>10*B7/$C$2</f>
        <v>0.92727272727272725</v>
      </c>
      <c r="D7">
        <v>14.5</v>
      </c>
      <c r="E7" s="6">
        <f>D7/$B$8</f>
        <v>1.3992762364294329</v>
      </c>
      <c r="F7" s="1">
        <f>2*DEGREES(ASIN((E7/2)))</f>
        <v>88.795954761251792</v>
      </c>
      <c r="G7">
        <v>90</v>
      </c>
      <c r="H7" s="1">
        <f>$C$2*SIN(RADIANS(G7/2))</f>
        <v>77.781745930520216</v>
      </c>
    </row>
    <row r="8" spans="1:8" x14ac:dyDescent="0.25">
      <c r="A8" t="s">
        <v>72</v>
      </c>
      <c r="B8" s="6">
        <f>AVERAGE(B4:B7)</f>
        <v>10.362500000000001</v>
      </c>
      <c r="C8" s="20">
        <f>AVERAGE(C4:C7)</f>
        <v>0.94204545454545452</v>
      </c>
      <c r="E8" s="6">
        <f>AVERAGE(E5,E7)</f>
        <v>1.3992762364294329</v>
      </c>
      <c r="F8" s="1">
        <f>AVERAGE(F5:F7)</f>
        <v>85.096228463378608</v>
      </c>
    </row>
    <row r="9" spans="1:8" x14ac:dyDescent="0.25">
      <c r="A9" t="s">
        <v>69</v>
      </c>
      <c r="F9" s="1">
        <f>SUM(F4:F7)</f>
        <v>355.49301458171635</v>
      </c>
      <c r="G9">
        <f>SUM(G4:G7)</f>
        <v>360</v>
      </c>
    </row>
    <row r="11" spans="1:8" ht="45" x14ac:dyDescent="0.25">
      <c r="A11" s="17" t="s">
        <v>110</v>
      </c>
      <c r="B11" s="7" t="s">
        <v>104</v>
      </c>
      <c r="C11" s="21" t="s">
        <v>102</v>
      </c>
      <c r="D11" s="17" t="s">
        <v>103</v>
      </c>
      <c r="E11" s="7" t="s">
        <v>106</v>
      </c>
      <c r="F11" s="16" t="s">
        <v>105</v>
      </c>
      <c r="G11" s="17" t="s">
        <v>108</v>
      </c>
      <c r="H11" s="16" t="s">
        <v>107</v>
      </c>
    </row>
    <row r="12" spans="1:8" x14ac:dyDescent="0.25">
      <c r="B12" s="6">
        <v>7.6</v>
      </c>
      <c r="C12" s="20">
        <f>10*B12/$C$2</f>
        <v>0.69090909090909092</v>
      </c>
      <c r="D12">
        <v>11.6</v>
      </c>
      <c r="E12" s="6">
        <f>D12/$B$16</f>
        <v>1.5389718076285241</v>
      </c>
      <c r="F12" s="1">
        <f>2*DEGREES(ASIN((E12/2)))</f>
        <v>100.61549177232783</v>
      </c>
      <c r="G12">
        <v>100</v>
      </c>
      <c r="H12" s="1">
        <f>$C$2*SIN(RADIANS(G12/2))</f>
        <v>84.264888743087582</v>
      </c>
    </row>
    <row r="13" spans="1:8" x14ac:dyDescent="0.25">
      <c r="B13" s="6">
        <v>7.5</v>
      </c>
      <c r="C13" s="20">
        <f>10*B13/$C$2</f>
        <v>0.68181818181818177</v>
      </c>
      <c r="D13">
        <v>10.6</v>
      </c>
      <c r="E13" s="6">
        <f t="shared" ref="E13:E15" si="0">D13/$B$16</f>
        <v>1.406301824212272</v>
      </c>
      <c r="F13" s="1">
        <f>2*DEGREES(ASIN((E13/2)))</f>
        <v>89.360703940899128</v>
      </c>
      <c r="G13">
        <v>90</v>
      </c>
      <c r="H13" s="1">
        <f>$C$2*SIN(RADIANS(G13/2))</f>
        <v>77.781745930520216</v>
      </c>
    </row>
    <row r="14" spans="1:8" x14ac:dyDescent="0.25">
      <c r="B14" s="6">
        <v>7.45</v>
      </c>
      <c r="C14" s="20">
        <f>10*B14/$C$2</f>
        <v>0.67727272727272725</v>
      </c>
      <c r="D14">
        <v>9.6999999999999993</v>
      </c>
      <c r="E14" s="6">
        <f t="shared" si="0"/>
        <v>1.286898839137645</v>
      </c>
      <c r="F14" s="1">
        <f>2*DEGREES(ASIN((E14/2)))</f>
        <v>80.099035172981004</v>
      </c>
      <c r="G14">
        <v>80</v>
      </c>
      <c r="H14" s="1">
        <f>$C$2*SIN(RADIANS(G14/2))</f>
        <v>70.706637065519317</v>
      </c>
    </row>
    <row r="15" spans="1:8" x14ac:dyDescent="0.25">
      <c r="B15" s="6">
        <v>7.6</v>
      </c>
      <c r="C15" s="20">
        <f>10*B15/$C$2</f>
        <v>0.69090909090909092</v>
      </c>
      <c r="D15">
        <v>10.6</v>
      </c>
      <c r="E15" s="6">
        <f t="shared" si="0"/>
        <v>1.406301824212272</v>
      </c>
      <c r="F15" s="1">
        <f>2*DEGREES(ASIN((E15/2)))</f>
        <v>89.360703940899128</v>
      </c>
      <c r="G15">
        <v>90</v>
      </c>
      <c r="H15" s="1">
        <f>$C$2*SIN(RADIANS(G15/2))</f>
        <v>77.781745930520216</v>
      </c>
    </row>
    <row r="16" spans="1:8" x14ac:dyDescent="0.25">
      <c r="A16" t="s">
        <v>72</v>
      </c>
      <c r="B16" s="6">
        <f>AVERAGE(B12:B15)</f>
        <v>7.5374999999999996</v>
      </c>
      <c r="E16" s="6">
        <f>AVERAGE(E13:E15)</f>
        <v>1.3665008291873963</v>
      </c>
      <c r="F16" s="1">
        <f>AVERAGE(F13,F15)</f>
        <v>89.360703940899128</v>
      </c>
    </row>
    <row r="17" spans="1:8" x14ac:dyDescent="0.25">
      <c r="A17" t="s">
        <v>69</v>
      </c>
      <c r="F17" s="1">
        <f>SUM(F12:F15)</f>
        <v>359.43593482710708</v>
      </c>
      <c r="G17">
        <f>SUM(G12:G15)</f>
        <v>360</v>
      </c>
    </row>
    <row r="19" spans="1:8" x14ac:dyDescent="0.25">
      <c r="E19" t="s">
        <v>114</v>
      </c>
      <c r="F19" s="1">
        <f>(F4+F12)/2</f>
        <v>100.4099104819542</v>
      </c>
      <c r="G19">
        <v>100</v>
      </c>
      <c r="H19" s="1">
        <f>$C$2*SIN(RADIANS(G19/2))</f>
        <v>84.264888743087582</v>
      </c>
    </row>
    <row r="20" spans="1:8" x14ac:dyDescent="0.25">
      <c r="E20"/>
      <c r="F20" s="1">
        <f t="shared" ref="F20:F22" si="1">(F5+F13)/2</f>
        <v>89.078329351075467</v>
      </c>
      <c r="G20">
        <v>90</v>
      </c>
      <c r="H20" s="1">
        <f t="shared" ref="H20:H22" si="2">$C$2*SIN(RADIANS(G20/2))</f>
        <v>77.781745930520216</v>
      </c>
    </row>
    <row r="21" spans="1:8" x14ac:dyDescent="0.25">
      <c r="E21"/>
      <c r="F21" s="1">
        <f t="shared" si="1"/>
        <v>78.897905520306608</v>
      </c>
      <c r="G21">
        <v>80</v>
      </c>
      <c r="H21" s="1">
        <f t="shared" si="2"/>
        <v>70.706637065519317</v>
      </c>
    </row>
    <row r="22" spans="1:8" x14ac:dyDescent="0.25">
      <c r="F22" s="1">
        <f t="shared" si="1"/>
        <v>89.078329351075467</v>
      </c>
      <c r="G22">
        <v>90</v>
      </c>
      <c r="H22" s="1">
        <f t="shared" si="2"/>
        <v>77.781745930520216</v>
      </c>
    </row>
    <row r="23" spans="1:8" x14ac:dyDescent="0.25">
      <c r="E23" t="s">
        <v>72</v>
      </c>
      <c r="F23" s="1">
        <f>AVERAGE(F20:F22)</f>
        <v>85.684854740819176</v>
      </c>
    </row>
    <row r="24" spans="1:8" x14ac:dyDescent="0.25">
      <c r="F24" s="1">
        <f>+SUM(F19:F22)</f>
        <v>357.46447470441171</v>
      </c>
      <c r="G24">
        <f>SUM(G19:G22)</f>
        <v>360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24" sqref="G24"/>
    </sheetView>
  </sheetViews>
  <sheetFormatPr defaultRowHeight="15" x14ac:dyDescent="0.25"/>
  <cols>
    <col min="1" max="1" width="10" customWidth="1"/>
    <col min="2" max="2" width="11.5703125" style="6" customWidth="1"/>
    <col min="3" max="3" width="9.140625" style="20"/>
    <col min="5" max="5" width="7.7109375" style="6" customWidth="1"/>
    <col min="6" max="6" width="9.140625" style="1"/>
    <col min="8" max="8" width="9.140625" style="1"/>
  </cols>
  <sheetData>
    <row r="1" spans="1:8" x14ac:dyDescent="0.25">
      <c r="B1" s="6" t="s">
        <v>101</v>
      </c>
      <c r="C1" s="20" t="s">
        <v>1</v>
      </c>
    </row>
    <row r="2" spans="1:8" x14ac:dyDescent="0.25">
      <c r="C2" s="20">
        <v>100</v>
      </c>
    </row>
    <row r="3" spans="1:8" s="23" customFormat="1" ht="45" x14ac:dyDescent="0.25">
      <c r="A3" s="23" t="s">
        <v>122</v>
      </c>
      <c r="B3" s="7" t="s">
        <v>104</v>
      </c>
      <c r="C3" s="21" t="s">
        <v>102</v>
      </c>
      <c r="D3" s="23" t="s">
        <v>103</v>
      </c>
      <c r="E3" s="7" t="s">
        <v>106</v>
      </c>
      <c r="F3" s="22" t="s">
        <v>105</v>
      </c>
      <c r="G3" s="23" t="s">
        <v>108</v>
      </c>
      <c r="H3" s="22" t="s">
        <v>107</v>
      </c>
    </row>
    <row r="4" spans="1:8" x14ac:dyDescent="0.25">
      <c r="B4" s="6">
        <v>8.65</v>
      </c>
      <c r="C4" s="20">
        <f>10*B4/$C$2</f>
        <v>0.86499999999999999</v>
      </c>
      <c r="D4">
        <v>15.9</v>
      </c>
      <c r="E4" s="6">
        <f>D4/$B$8</f>
        <v>1.8574766355140186</v>
      </c>
      <c r="F4" s="1">
        <f>2*DEGREES(ASIN((E4/2)))</f>
        <v>136.47797648515638</v>
      </c>
      <c r="G4">
        <v>136</v>
      </c>
      <c r="H4" s="1">
        <f>$C$2*SIN(RADIANS(G4/2))</f>
        <v>92.718385456678746</v>
      </c>
    </row>
    <row r="5" spans="1:8" x14ac:dyDescent="0.25">
      <c r="B5" s="6">
        <v>8.65</v>
      </c>
      <c r="C5" s="20">
        <f>10*B5/$C$2</f>
        <v>0.86499999999999999</v>
      </c>
      <c r="D5">
        <v>10</v>
      </c>
      <c r="E5" s="6">
        <f>D5/$B$8</f>
        <v>1.1682242990654206</v>
      </c>
      <c r="F5" s="1">
        <f>2*DEGREES(ASIN((E5/2)))</f>
        <v>71.480584365360727</v>
      </c>
      <c r="G5">
        <v>72</v>
      </c>
      <c r="H5" s="1">
        <f>$C$2*SIN(RADIANS(G5/2))</f>
        <v>58.778525229247315</v>
      </c>
    </row>
    <row r="6" spans="1:8" x14ac:dyDescent="0.25">
      <c r="B6" s="6">
        <v>8.65</v>
      </c>
      <c r="C6" s="20">
        <f>10*B6/$C$2</f>
        <v>0.86499999999999999</v>
      </c>
      <c r="D6">
        <v>11.05</v>
      </c>
      <c r="E6" s="6">
        <f>D6/$B$8</f>
        <v>1.2908878504672898</v>
      </c>
      <c r="F6" s="1">
        <f>2*DEGREES(ASIN((E6/2)))</f>
        <v>80.397935242977852</v>
      </c>
      <c r="G6">
        <v>80</v>
      </c>
      <c r="H6" s="1">
        <f>$C$2*SIN(RADIANS(G6/2))</f>
        <v>64.278760968653927</v>
      </c>
    </row>
    <row r="7" spans="1:8" x14ac:dyDescent="0.25">
      <c r="B7" s="6">
        <v>8.65</v>
      </c>
      <c r="C7" s="20">
        <f>10*B7/$C$2</f>
        <v>0.86499999999999999</v>
      </c>
      <c r="D7">
        <v>10.050000000000001</v>
      </c>
      <c r="E7" s="6">
        <f>D7/$B$8</f>
        <v>1.1740654205607477</v>
      </c>
      <c r="F7" s="1">
        <f>2*DEGREES(ASIN((E7/2)))</f>
        <v>71.893443703620775</v>
      </c>
      <c r="G7">
        <v>72</v>
      </c>
      <c r="H7" s="1">
        <f>$C$2*SIN(RADIANS(G7/2))</f>
        <v>58.778525229247315</v>
      </c>
    </row>
    <row r="8" spans="1:8" x14ac:dyDescent="0.25">
      <c r="A8" t="s">
        <v>74</v>
      </c>
      <c r="B8" s="6">
        <v>8.56</v>
      </c>
      <c r="C8" s="20">
        <f>AVERAGE(C4:C7)</f>
        <v>0.86499999999999999</v>
      </c>
      <c r="E8" s="6">
        <f>AVERAGE(E5,E7)</f>
        <v>1.1711448598130842</v>
      </c>
      <c r="F8" s="1">
        <f>AVERAGE(F5,F7)</f>
        <v>71.687014034490744</v>
      </c>
    </row>
    <row r="9" spans="1:8" x14ac:dyDescent="0.25">
      <c r="A9" t="s">
        <v>69</v>
      </c>
      <c r="F9" s="1">
        <f>SUM(F4:F7)</f>
        <v>360.24993979711576</v>
      </c>
      <c r="G9">
        <f>SUM(G4:G7)</f>
        <v>360</v>
      </c>
    </row>
    <row r="11" spans="1:8" ht="45" x14ac:dyDescent="0.25">
      <c r="A11" s="23" t="s">
        <v>123</v>
      </c>
      <c r="B11" s="7" t="s">
        <v>104</v>
      </c>
      <c r="C11" s="21" t="s">
        <v>102</v>
      </c>
      <c r="D11" s="23" t="s">
        <v>103</v>
      </c>
      <c r="E11" s="7" t="s">
        <v>106</v>
      </c>
      <c r="F11" s="22" t="s">
        <v>105</v>
      </c>
      <c r="G11" s="23" t="s">
        <v>108</v>
      </c>
      <c r="H11" s="22" t="s">
        <v>107</v>
      </c>
    </row>
    <row r="12" spans="1:8" x14ac:dyDescent="0.25">
      <c r="C12" s="20">
        <f>10*B12/$C$2</f>
        <v>0</v>
      </c>
      <c r="D12">
        <v>31.2</v>
      </c>
      <c r="E12" s="6">
        <f>D12/$B$16</f>
        <v>1.8540527691942001</v>
      </c>
      <c r="F12" s="1">
        <f>2*DEGREES(ASIN((E12/2)))</f>
        <v>135.95185521880654</v>
      </c>
      <c r="G12">
        <v>136</v>
      </c>
      <c r="H12" s="1">
        <f>$C$2*SIN(RADIANS(G12/2))</f>
        <v>92.718385456678746</v>
      </c>
    </row>
    <row r="13" spans="1:8" x14ac:dyDescent="0.25">
      <c r="C13" s="20">
        <f>10*B13/$C$2</f>
        <v>0</v>
      </c>
      <c r="D13">
        <v>19.8</v>
      </c>
      <c r="E13" s="6">
        <f t="shared" ref="E13:E15" si="0">D13/$B$16</f>
        <v>1.1766104112193962</v>
      </c>
      <c r="F13" s="1">
        <f>2*DEGREES(ASIN((E13/2)))</f>
        <v>72.073664933055554</v>
      </c>
      <c r="G13">
        <v>72</v>
      </c>
      <c r="H13" s="1">
        <f>$C$2*SIN(RADIANS(G13/2))</f>
        <v>58.778525229247315</v>
      </c>
    </row>
    <row r="14" spans="1:8" x14ac:dyDescent="0.25">
      <c r="C14" s="20">
        <f>10*B14/$C$2</f>
        <v>0</v>
      </c>
      <c r="D14">
        <v>21.7</v>
      </c>
      <c r="E14" s="6">
        <f t="shared" si="0"/>
        <v>1.2895174708818635</v>
      </c>
      <c r="F14" s="1">
        <f>2*DEGREES(ASIN((E14/2)))</f>
        <v>80.295177384235089</v>
      </c>
      <c r="G14">
        <v>80</v>
      </c>
      <c r="H14" s="1">
        <f>$C$2*SIN(RADIANS(G14/2))</f>
        <v>64.278760968653927</v>
      </c>
    </row>
    <row r="15" spans="1:8" x14ac:dyDescent="0.25">
      <c r="C15" s="20">
        <f>10*B15/$C$2</f>
        <v>0</v>
      </c>
      <c r="D15">
        <v>19.7</v>
      </c>
      <c r="E15" s="6">
        <f t="shared" si="0"/>
        <v>1.1706679343950559</v>
      </c>
      <c r="F15" s="1">
        <f>2*DEGREES(ASIN((E15/2)))</f>
        <v>71.653173533537981</v>
      </c>
      <c r="G15">
        <v>72</v>
      </c>
      <c r="H15" s="1">
        <f>$C$2*SIN(RADIANS(G15/2))</f>
        <v>58.778525229247315</v>
      </c>
    </row>
    <row r="16" spans="1:8" x14ac:dyDescent="0.25">
      <c r="A16" t="s">
        <v>74</v>
      </c>
      <c r="B16" s="6">
        <v>16.827999999999999</v>
      </c>
      <c r="E16" s="6">
        <f>AVERAGE(E13:E15)</f>
        <v>1.2122652721654386</v>
      </c>
      <c r="F16" s="1">
        <f>AVERAGE(F13,F15)</f>
        <v>71.863419233296767</v>
      </c>
    </row>
    <row r="17" spans="1:8" x14ac:dyDescent="0.25">
      <c r="A17" t="s">
        <v>69</v>
      </c>
      <c r="F17" s="1">
        <f>SUM(F12:F15)</f>
        <v>359.97387106963521</v>
      </c>
      <c r="G17">
        <f>SUM(G12:G15)</f>
        <v>360</v>
      </c>
    </row>
    <row r="19" spans="1:8" x14ac:dyDescent="0.25">
      <c r="E19" t="s">
        <v>114</v>
      </c>
      <c r="F19" s="1">
        <f>(F4+F12)/2</f>
        <v>136.21491585198146</v>
      </c>
      <c r="G19">
        <v>136</v>
      </c>
      <c r="H19" s="1">
        <f>$C$2*SIN(RADIANS(G19/2))</f>
        <v>92.718385456678746</v>
      </c>
    </row>
    <row r="20" spans="1:8" x14ac:dyDescent="0.25">
      <c r="E20"/>
      <c r="F20" s="1">
        <f t="shared" ref="F20:F22" si="1">(F5+F13)/2</f>
        <v>71.777124649208133</v>
      </c>
      <c r="G20">
        <v>72</v>
      </c>
      <c r="H20" s="1">
        <f t="shared" ref="H20:H22" si="2">$C$2*SIN(RADIANS(G20/2))</f>
        <v>58.778525229247315</v>
      </c>
    </row>
    <row r="21" spans="1:8" x14ac:dyDescent="0.25">
      <c r="E21"/>
      <c r="F21" s="1">
        <f t="shared" si="1"/>
        <v>80.34655631360647</v>
      </c>
      <c r="G21">
        <v>80</v>
      </c>
      <c r="H21" s="1">
        <f t="shared" si="2"/>
        <v>64.278760968653927</v>
      </c>
    </row>
    <row r="22" spans="1:8" x14ac:dyDescent="0.25">
      <c r="F22" s="1">
        <f t="shared" si="1"/>
        <v>71.773308618579378</v>
      </c>
      <c r="G22">
        <v>72</v>
      </c>
      <c r="H22" s="1">
        <f t="shared" si="2"/>
        <v>58.778525229247315</v>
      </c>
    </row>
    <row r="23" spans="1:8" x14ac:dyDescent="0.25">
      <c r="E23" t="s">
        <v>72</v>
      </c>
      <c r="F23" s="1">
        <f>AVERAGE(F20,F22)</f>
        <v>71.775216633893763</v>
      </c>
    </row>
    <row r="24" spans="1:8" x14ac:dyDescent="0.25">
      <c r="F24" s="1">
        <f>+SUM(F19:F22)</f>
        <v>360.11190543337545</v>
      </c>
      <c r="G24">
        <f>SUM(G19:G22)</f>
        <v>360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opLeftCell="A10" workbookViewId="0">
      <selection activeCell="I29" sqref="I29"/>
    </sheetView>
  </sheetViews>
  <sheetFormatPr defaultRowHeight="15" x14ac:dyDescent="0.25"/>
  <cols>
    <col min="1" max="16384" width="9.140625" style="6"/>
  </cols>
  <sheetData>
    <row r="1" spans="1:11" ht="45" x14ac:dyDescent="0.25">
      <c r="A1" s="7" t="s">
        <v>5</v>
      </c>
      <c r="B1" s="6" t="s">
        <v>95</v>
      </c>
      <c r="G1" s="7" t="s">
        <v>56</v>
      </c>
      <c r="H1" s="7" t="s">
        <v>58</v>
      </c>
      <c r="I1" s="6" t="s">
        <v>1</v>
      </c>
      <c r="J1" s="7" t="s">
        <v>59</v>
      </c>
      <c r="K1" s="6" t="s">
        <v>60</v>
      </c>
    </row>
    <row r="3" spans="1:11" x14ac:dyDescent="0.25">
      <c r="A3" s="6" t="s">
        <v>57</v>
      </c>
      <c r="B3" s="6">
        <v>13.6</v>
      </c>
      <c r="C3" s="6">
        <v>12.25</v>
      </c>
      <c r="D3" s="6">
        <v>12.87</v>
      </c>
      <c r="E3" s="6">
        <v>12.55</v>
      </c>
      <c r="F3" s="6">
        <v>12.2</v>
      </c>
      <c r="G3" s="6">
        <v>27.95</v>
      </c>
      <c r="H3" s="6">
        <v>6.6</v>
      </c>
      <c r="I3" s="6">
        <f t="shared" ref="I3:I9" si="0">G3-H3</f>
        <v>21.35</v>
      </c>
      <c r="J3" s="6">
        <v>12.12</v>
      </c>
      <c r="K3" s="6">
        <f t="shared" ref="K3:K11" si="1">J3/G3</f>
        <v>0.43363148479427549</v>
      </c>
    </row>
    <row r="4" spans="1:11" x14ac:dyDescent="0.25">
      <c r="A4" s="6" t="s">
        <v>64</v>
      </c>
      <c r="B4" s="6">
        <v>14.7</v>
      </c>
      <c r="C4" s="6">
        <v>13.25</v>
      </c>
      <c r="D4" s="6">
        <v>13.95</v>
      </c>
      <c r="E4" s="6">
        <v>13.65</v>
      </c>
      <c r="F4" s="6">
        <v>13.35</v>
      </c>
      <c r="G4" s="6">
        <v>26.6</v>
      </c>
      <c r="H4" s="6">
        <v>3</v>
      </c>
      <c r="I4" s="6">
        <f t="shared" si="0"/>
        <v>23.6</v>
      </c>
      <c r="J4" s="6">
        <v>10.52</v>
      </c>
      <c r="K4" s="6">
        <f t="shared" si="1"/>
        <v>0.39548872180451122</v>
      </c>
    </row>
    <row r="5" spans="1:11" x14ac:dyDescent="0.25">
      <c r="A5" s="6" t="s">
        <v>65</v>
      </c>
      <c r="B5" s="6">
        <v>15.1</v>
      </c>
      <c r="C5" s="6">
        <v>13.65</v>
      </c>
      <c r="D5" s="6">
        <v>14.28</v>
      </c>
      <c r="E5" s="6">
        <v>14.1</v>
      </c>
      <c r="F5" s="6">
        <v>13.55</v>
      </c>
      <c r="G5" s="6">
        <v>27.15</v>
      </c>
      <c r="H5" s="6">
        <v>3.1</v>
      </c>
      <c r="I5" s="6">
        <f t="shared" si="0"/>
        <v>24.049999999999997</v>
      </c>
      <c r="J5" s="6">
        <v>10.52</v>
      </c>
      <c r="K5" s="6">
        <f t="shared" si="1"/>
        <v>0.3874769797421731</v>
      </c>
    </row>
    <row r="6" spans="1:11" x14ac:dyDescent="0.25">
      <c r="A6" s="6" t="s">
        <v>67</v>
      </c>
      <c r="B6" s="6">
        <v>14.05</v>
      </c>
      <c r="C6" s="6">
        <v>12.65</v>
      </c>
      <c r="D6" s="6">
        <v>13.25</v>
      </c>
      <c r="E6" s="6">
        <v>12.95</v>
      </c>
      <c r="F6" s="6">
        <v>12.65</v>
      </c>
      <c r="G6" s="6">
        <v>27.05</v>
      </c>
      <c r="H6" s="6">
        <v>4.8</v>
      </c>
      <c r="I6" s="6">
        <f t="shared" si="0"/>
        <v>22.25</v>
      </c>
      <c r="J6" s="6">
        <v>11.25</v>
      </c>
      <c r="K6" s="6">
        <f t="shared" si="1"/>
        <v>0.41589648798521256</v>
      </c>
    </row>
    <row r="7" spans="1:11" x14ac:dyDescent="0.25">
      <c r="A7" s="6" t="s">
        <v>63</v>
      </c>
      <c r="B7" s="6">
        <v>14.15</v>
      </c>
      <c r="C7" s="6">
        <v>12.75</v>
      </c>
      <c r="D7" s="6">
        <v>13.38</v>
      </c>
      <c r="E7" s="6">
        <v>13.05</v>
      </c>
      <c r="F7" s="6">
        <v>12.72</v>
      </c>
      <c r="G7" s="6">
        <v>27.3</v>
      </c>
      <c r="H7" s="6">
        <v>4.8</v>
      </c>
      <c r="I7" s="6">
        <f t="shared" si="0"/>
        <v>22.5</v>
      </c>
      <c r="J7" s="6">
        <v>11.25</v>
      </c>
      <c r="K7" s="6">
        <f>J7/G7</f>
        <v>0.41208791208791207</v>
      </c>
    </row>
    <row r="8" spans="1:11" x14ac:dyDescent="0.25">
      <c r="A8" s="6" t="s">
        <v>66</v>
      </c>
      <c r="B8" s="6">
        <v>14</v>
      </c>
      <c r="C8" s="6">
        <v>12.7</v>
      </c>
      <c r="D8" s="6">
        <v>13.35</v>
      </c>
      <c r="E8" s="6">
        <v>12.95</v>
      </c>
      <c r="F8" s="6">
        <v>12.7</v>
      </c>
      <c r="G8" s="6">
        <v>27.37</v>
      </c>
      <c r="H8" s="6">
        <v>4.5999999999999996</v>
      </c>
      <c r="I8" s="6">
        <f t="shared" si="0"/>
        <v>22.770000000000003</v>
      </c>
      <c r="J8" s="6">
        <v>11.25</v>
      </c>
      <c r="K8" s="6">
        <f>J8/G8</f>
        <v>0.41103397880891485</v>
      </c>
    </row>
    <row r="9" spans="1:11" x14ac:dyDescent="0.25">
      <c r="A9" s="6" t="s">
        <v>68</v>
      </c>
      <c r="B9" s="6">
        <v>12.78</v>
      </c>
      <c r="C9" s="6">
        <v>11.48</v>
      </c>
      <c r="D9" s="6">
        <v>12.1</v>
      </c>
      <c r="E9" s="6">
        <v>11.78</v>
      </c>
      <c r="F9" s="6">
        <v>11.5</v>
      </c>
      <c r="G9" s="6">
        <v>28.15</v>
      </c>
      <c r="H9" s="6">
        <v>7.8</v>
      </c>
      <c r="I9" s="6">
        <f t="shared" si="0"/>
        <v>20.349999999999998</v>
      </c>
      <c r="J9" s="6">
        <v>12.95</v>
      </c>
      <c r="K9" s="6">
        <f>J9/G9</f>
        <v>0.46003552397868563</v>
      </c>
    </row>
    <row r="11" spans="1:11" x14ac:dyDescent="0.25">
      <c r="A11" s="6" t="s">
        <v>61</v>
      </c>
      <c r="B11" s="6">
        <v>13.45</v>
      </c>
      <c r="C11" s="6">
        <v>12.1</v>
      </c>
      <c r="D11" s="6">
        <v>12.6</v>
      </c>
      <c r="E11" s="6">
        <v>12.5</v>
      </c>
      <c r="F11" s="6">
        <v>12.15</v>
      </c>
      <c r="G11" s="6">
        <v>27.35</v>
      </c>
      <c r="H11" s="6">
        <v>6.2</v>
      </c>
      <c r="I11" s="6">
        <f>G11-H11</f>
        <v>21.150000000000002</v>
      </c>
      <c r="J11" s="6">
        <v>12</v>
      </c>
      <c r="K11" s="6">
        <f t="shared" si="1"/>
        <v>0.43875685557586835</v>
      </c>
    </row>
    <row r="12" spans="1:11" x14ac:dyDescent="0.25">
      <c r="J12" s="6" t="s">
        <v>62</v>
      </c>
    </row>
    <row r="14" spans="1:11" s="7" customFormat="1" ht="30" x14ac:dyDescent="0.25">
      <c r="A14" s="7" t="s">
        <v>70</v>
      </c>
    </row>
    <row r="15" spans="1:11" x14ac:dyDescent="0.25">
      <c r="A15" s="6" t="s">
        <v>57</v>
      </c>
      <c r="B15" s="6">
        <f t="shared" ref="B15:I15" si="2">10*B3*$K$3</f>
        <v>58.97388193202147</v>
      </c>
      <c r="C15" s="6">
        <f t="shared" si="2"/>
        <v>53.119856887298745</v>
      </c>
      <c r="D15" s="6">
        <f t="shared" si="2"/>
        <v>55.808372093023252</v>
      </c>
      <c r="E15" s="6">
        <f t="shared" si="2"/>
        <v>54.420751341681573</v>
      </c>
      <c r="F15" s="6">
        <f t="shared" si="2"/>
        <v>52.903041144901607</v>
      </c>
      <c r="G15" s="6">
        <f t="shared" si="2"/>
        <v>121.2</v>
      </c>
      <c r="H15" s="6">
        <f t="shared" si="2"/>
        <v>28.619677996422183</v>
      </c>
      <c r="I15" s="6">
        <f t="shared" si="2"/>
        <v>92.58032200357782</v>
      </c>
    </row>
    <row r="16" spans="1:11" x14ac:dyDescent="0.25">
      <c r="A16" s="6" t="s">
        <v>64</v>
      </c>
      <c r="B16" s="6">
        <f>10*B4*$K$4</f>
        <v>58.136842105263149</v>
      </c>
      <c r="C16" s="6">
        <f t="shared" ref="C16:H16" si="3">10*C4*$K$4</f>
        <v>52.402255639097739</v>
      </c>
      <c r="D16" s="6">
        <f t="shared" si="3"/>
        <v>55.170676691729312</v>
      </c>
      <c r="E16" s="6">
        <f t="shared" si="3"/>
        <v>53.984210526315785</v>
      </c>
      <c r="F16" s="6">
        <f t="shared" si="3"/>
        <v>52.79774436090225</v>
      </c>
      <c r="G16" s="6">
        <f t="shared" si="3"/>
        <v>105.19999999999999</v>
      </c>
      <c r="H16" s="6">
        <f t="shared" si="3"/>
        <v>11.864661654135336</v>
      </c>
      <c r="I16" s="6">
        <f>10*I4*$K$4</f>
        <v>93.335338345864642</v>
      </c>
    </row>
    <row r="17" spans="1:9" x14ac:dyDescent="0.25">
      <c r="A17" s="6" t="s">
        <v>65</v>
      </c>
      <c r="B17" s="6">
        <f>10*B5*$K$5</f>
        <v>58.509023941068136</v>
      </c>
      <c r="C17" s="6">
        <f t="shared" ref="C17:H17" si="4">10*C5*$K$5</f>
        <v>52.890607734806629</v>
      </c>
      <c r="D17" s="6">
        <f t="shared" si="4"/>
        <v>55.331712707182312</v>
      </c>
      <c r="E17" s="6">
        <f t="shared" si="4"/>
        <v>54.634254143646409</v>
      </c>
      <c r="F17" s="6">
        <f t="shared" si="4"/>
        <v>52.503130755064454</v>
      </c>
      <c r="G17" s="6">
        <f t="shared" si="4"/>
        <v>105.2</v>
      </c>
      <c r="H17" s="6">
        <f t="shared" si="4"/>
        <v>12.011786372007366</v>
      </c>
      <c r="I17" s="6">
        <f>10*I5*$K$5</f>
        <v>93.188213627992624</v>
      </c>
    </row>
    <row r="18" spans="1:9" x14ac:dyDescent="0.25">
      <c r="A18" s="6" t="s">
        <v>67</v>
      </c>
      <c r="B18" s="6">
        <f>10*B6*$K$6</f>
        <v>58.433456561922362</v>
      </c>
      <c r="C18" s="6">
        <f t="shared" ref="C18:F18" si="5">10*C6*$K$6</f>
        <v>52.610905730129389</v>
      </c>
      <c r="D18" s="6">
        <f t="shared" si="5"/>
        <v>55.106284658040664</v>
      </c>
      <c r="E18" s="6">
        <f t="shared" si="5"/>
        <v>53.858595194085026</v>
      </c>
      <c r="F18" s="6">
        <f t="shared" si="5"/>
        <v>52.610905730129389</v>
      </c>
      <c r="G18" s="6">
        <f>10*G6*$K$6</f>
        <v>112.5</v>
      </c>
      <c r="H18" s="6">
        <f>10*H6*$K$6</f>
        <v>19.963031423290204</v>
      </c>
      <c r="I18" s="6">
        <f>10*I6*$K$6</f>
        <v>92.536968576709796</v>
      </c>
    </row>
    <row r="19" spans="1:9" x14ac:dyDescent="0.25">
      <c r="A19" s="6" t="s">
        <v>63</v>
      </c>
      <c r="B19" s="6">
        <f>10*B7*$K$7</f>
        <v>58.310439560439555</v>
      </c>
      <c r="C19" s="6">
        <f t="shared" ref="C19:F19" si="6">10*C7*$K$7</f>
        <v>52.541208791208788</v>
      </c>
      <c r="D19" s="6">
        <v>53.78</v>
      </c>
      <c r="E19" s="6">
        <v>52.95</v>
      </c>
      <c r="F19" s="6">
        <f t="shared" si="6"/>
        <v>52.417582417582416</v>
      </c>
      <c r="G19" s="6">
        <f>10*G7*$K$7</f>
        <v>112.5</v>
      </c>
      <c r="H19" s="6">
        <f>10*H7*$K$7</f>
        <v>19.780219780219781</v>
      </c>
      <c r="I19" s="6">
        <f>10*I7*$K$7</f>
        <v>92.719780219780219</v>
      </c>
    </row>
    <row r="20" spans="1:9" x14ac:dyDescent="0.25">
      <c r="A20" s="6" t="s">
        <v>66</v>
      </c>
      <c r="B20" s="6">
        <f>10*B8*$K$8</f>
        <v>57.544757033248075</v>
      </c>
      <c r="C20" s="6">
        <f t="shared" ref="C20:F20" si="7">10*C8*$K$8</f>
        <v>52.201315308732184</v>
      </c>
      <c r="D20" s="6">
        <f t="shared" si="7"/>
        <v>54.873036170990133</v>
      </c>
      <c r="E20" s="6">
        <f t="shared" si="7"/>
        <v>53.228900255754475</v>
      </c>
      <c r="F20" s="6">
        <f t="shared" si="7"/>
        <v>52.201315308732184</v>
      </c>
      <c r="G20" s="6">
        <f>10*G8*$K$8</f>
        <v>112.49999999999999</v>
      </c>
      <c r="H20" s="6">
        <f>10*H8*$K$8</f>
        <v>18.907563025210084</v>
      </c>
      <c r="I20" s="6">
        <f>10*I8*$K$7</f>
        <v>93.832417582417591</v>
      </c>
    </row>
    <row r="21" spans="1:9" x14ac:dyDescent="0.25">
      <c r="A21" s="6" t="s">
        <v>68</v>
      </c>
      <c r="B21" s="6">
        <f>10*B9*$K$9</f>
        <v>58.79253996447602</v>
      </c>
      <c r="C21" s="6">
        <f t="shared" ref="C21:F21" si="8">10*C9*$K$9</f>
        <v>52.812078152753116</v>
      </c>
      <c r="D21" s="6">
        <f t="shared" si="8"/>
        <v>55.664298401420965</v>
      </c>
      <c r="E21" s="6">
        <f t="shared" si="8"/>
        <v>54.192184724689163</v>
      </c>
      <c r="F21" s="6">
        <f t="shared" si="8"/>
        <v>52.90408525754885</v>
      </c>
      <c r="G21" s="6">
        <f>10*G9*$K$9</f>
        <v>129.5</v>
      </c>
      <c r="H21" s="6">
        <f>10*H9*$K$9</f>
        <v>35.882770870337481</v>
      </c>
      <c r="I21" s="6">
        <f>10*I9*$K$9</f>
        <v>93.617229129662519</v>
      </c>
    </row>
    <row r="22" spans="1:9" x14ac:dyDescent="0.25">
      <c r="H22" s="6" t="s">
        <v>72</v>
      </c>
      <c r="I22" s="6">
        <f>AVERAGE(I15:I21)</f>
        <v>93.115752783715038</v>
      </c>
    </row>
    <row r="23" spans="1:9" x14ac:dyDescent="0.25">
      <c r="H23" s="6" t="s">
        <v>74</v>
      </c>
      <c r="I23" s="6">
        <v>93</v>
      </c>
    </row>
    <row r="24" spans="1:9" x14ac:dyDescent="0.25">
      <c r="B24" s="6" t="s">
        <v>9</v>
      </c>
      <c r="G24" s="6" t="s">
        <v>69</v>
      </c>
    </row>
    <row r="25" spans="1:9" x14ac:dyDescent="0.25">
      <c r="A25" s="6" t="s">
        <v>57</v>
      </c>
      <c r="B25" s="6">
        <f t="shared" ref="B25:F31" si="9">2 * DEGREES(ASIN(B15/$I15))</f>
        <v>79.137306265648618</v>
      </c>
      <c r="C25" s="6">
        <f t="shared" si="9"/>
        <v>70.027148759255766</v>
      </c>
      <c r="D25" s="6">
        <f t="shared" si="9"/>
        <v>74.142874273188653</v>
      </c>
      <c r="E25" s="6">
        <f t="shared" si="9"/>
        <v>72.005207130199295</v>
      </c>
      <c r="F25" s="6">
        <f t="shared" si="9"/>
        <v>69.699809158092961</v>
      </c>
      <c r="G25" s="6">
        <f>SUM(B25:F25)</f>
        <v>365.01234558638532</v>
      </c>
    </row>
    <row r="26" spans="1:9" x14ac:dyDescent="0.25">
      <c r="A26" s="6" t="s">
        <v>64</v>
      </c>
      <c r="B26" s="6">
        <f t="shared" si="9"/>
        <v>77.053706023112085</v>
      </c>
      <c r="C26" s="6">
        <f t="shared" si="9"/>
        <v>68.310977775007842</v>
      </c>
      <c r="D26" s="6">
        <f t="shared" si="9"/>
        <v>72.470453695613799</v>
      </c>
      <c r="E26" s="6">
        <f t="shared" si="9"/>
        <v>70.674742813352367</v>
      </c>
      <c r="F26" s="6">
        <f t="shared" si="9"/>
        <v>68.898767477701014</v>
      </c>
      <c r="G26" s="6">
        <f t="shared" ref="G26:G34" si="10">SUM(B26:F26)</f>
        <v>357.40864778478709</v>
      </c>
    </row>
    <row r="27" spans="1:9" x14ac:dyDescent="0.25">
      <c r="A27" s="6" t="s">
        <v>65</v>
      </c>
      <c r="B27" s="6">
        <f t="shared" si="9"/>
        <v>77.784624182295417</v>
      </c>
      <c r="C27" s="6">
        <f t="shared" si="9"/>
        <v>69.16155685895022</v>
      </c>
      <c r="D27" s="6">
        <f t="shared" si="9"/>
        <v>72.848997760295319</v>
      </c>
      <c r="E27" s="6">
        <f t="shared" si="9"/>
        <v>71.786735431614375</v>
      </c>
      <c r="F27" s="6">
        <f t="shared" si="9"/>
        <v>68.58384258086501</v>
      </c>
      <c r="G27" s="6">
        <f t="shared" si="10"/>
        <v>360.16575681402031</v>
      </c>
    </row>
    <row r="28" spans="1:9" x14ac:dyDescent="0.25">
      <c r="A28" s="6" t="s">
        <v>67</v>
      </c>
      <c r="B28" s="6">
        <f t="shared" si="9"/>
        <v>78.315941659989747</v>
      </c>
      <c r="C28" s="6">
        <f t="shared" si="9"/>
        <v>69.296862374314827</v>
      </c>
      <c r="D28" s="6">
        <f t="shared" si="9"/>
        <v>73.097369711794059</v>
      </c>
      <c r="E28" s="6">
        <f t="shared" si="9"/>
        <v>71.185837251759736</v>
      </c>
      <c r="F28" s="6">
        <f t="shared" si="9"/>
        <v>69.296862374314827</v>
      </c>
      <c r="G28" s="6">
        <f t="shared" si="10"/>
        <v>361.19287337217315</v>
      </c>
    </row>
    <row r="29" spans="1:9" x14ac:dyDescent="0.25">
      <c r="A29" s="6" t="s">
        <v>63</v>
      </c>
      <c r="B29" s="6">
        <f t="shared" si="9"/>
        <v>77.93638853039073</v>
      </c>
      <c r="C29" s="6">
        <f t="shared" si="9"/>
        <v>69.036215682122517</v>
      </c>
      <c r="D29" s="6">
        <f t="shared" si="9"/>
        <v>70.904919865948784</v>
      </c>
      <c r="E29" s="6">
        <f t="shared" si="9"/>
        <v>69.650523232416177</v>
      </c>
      <c r="F29" s="6">
        <f t="shared" si="9"/>
        <v>68.850883544326976</v>
      </c>
      <c r="G29" s="6">
        <f t="shared" ref="G29" si="11">SUM(B29:F29)</f>
        <v>356.37893085520517</v>
      </c>
    </row>
    <row r="30" spans="1:9" x14ac:dyDescent="0.25">
      <c r="A30" s="6" t="s">
        <v>66</v>
      </c>
      <c r="B30" s="6">
        <f t="shared" si="9"/>
        <v>75.652877753040599</v>
      </c>
      <c r="C30" s="6">
        <f t="shared" si="9"/>
        <v>67.6040456574312</v>
      </c>
      <c r="D30" s="6">
        <f t="shared" si="9"/>
        <v>71.577481034304469</v>
      </c>
      <c r="E30" s="6">
        <f t="shared" si="9"/>
        <v>69.121013344085526</v>
      </c>
      <c r="F30" s="6">
        <f t="shared" si="9"/>
        <v>67.6040456574312</v>
      </c>
      <c r="G30" s="6">
        <f t="shared" si="10"/>
        <v>351.55946344629302</v>
      </c>
    </row>
    <row r="31" spans="1:9" x14ac:dyDescent="0.25">
      <c r="A31" s="6" t="s">
        <v>68</v>
      </c>
      <c r="B31" s="6">
        <f t="shared" si="9"/>
        <v>77.806886817432115</v>
      </c>
      <c r="C31" s="6">
        <f t="shared" si="9"/>
        <v>68.683487191204293</v>
      </c>
      <c r="D31" s="6">
        <f t="shared" si="9"/>
        <v>72.967474122734487</v>
      </c>
      <c r="E31" s="6">
        <f t="shared" si="9"/>
        <v>70.742176220153851</v>
      </c>
      <c r="F31" s="6">
        <f t="shared" si="9"/>
        <v>68.819938999346661</v>
      </c>
      <c r="G31" s="6">
        <f t="shared" si="10"/>
        <v>359.01996335087142</v>
      </c>
    </row>
    <row r="33" spans="1:7" x14ac:dyDescent="0.25">
      <c r="A33" s="6" t="s">
        <v>71</v>
      </c>
      <c r="B33" s="6">
        <f>AVERAGE(B25:B31)</f>
        <v>77.669675890272757</v>
      </c>
      <c r="C33" s="6">
        <f t="shared" ref="C33:F33" si="12">AVERAGE(C25:C31)</f>
        <v>68.874327756898097</v>
      </c>
      <c r="D33" s="6">
        <f t="shared" si="12"/>
        <v>72.572795780554216</v>
      </c>
      <c r="E33" s="6">
        <f t="shared" si="12"/>
        <v>70.738033631940183</v>
      </c>
      <c r="F33" s="6">
        <f t="shared" si="12"/>
        <v>68.822021398868372</v>
      </c>
      <c r="G33" s="6">
        <f t="shared" si="10"/>
        <v>358.67685445853363</v>
      </c>
    </row>
    <row r="34" spans="1:7" x14ac:dyDescent="0.25">
      <c r="A34" s="6" t="s">
        <v>74</v>
      </c>
      <c r="B34" s="6">
        <v>78</v>
      </c>
      <c r="C34" s="6">
        <v>69</v>
      </c>
      <c r="D34" s="6">
        <v>73</v>
      </c>
      <c r="E34" s="6">
        <v>71</v>
      </c>
      <c r="F34" s="6">
        <v>69</v>
      </c>
      <c r="G34" s="6">
        <f t="shared" si="10"/>
        <v>360</v>
      </c>
    </row>
    <row r="36" spans="1:7" x14ac:dyDescent="0.25">
      <c r="A36" s="6" t="s">
        <v>73</v>
      </c>
      <c r="B36" s="1">
        <f>2*SIN(RADIANS(B34/2))*$I23/2</f>
        <v>58.52679636763488</v>
      </c>
      <c r="C36" s="1">
        <f t="shared" ref="C36:F36" si="13">2*SIN(RADIANS(C34/2))*$I23/2</f>
        <v>52.675780034009456</v>
      </c>
      <c r="D36" s="1">
        <f t="shared" si="13"/>
        <v>55.31851916787474</v>
      </c>
      <c r="E36" s="1">
        <f t="shared" si="13"/>
        <v>54.005374881117397</v>
      </c>
      <c r="F36" s="1">
        <f t="shared" si="13"/>
        <v>52.675780034009456</v>
      </c>
    </row>
  </sheetData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H11" sqref="H11"/>
    </sheetView>
  </sheetViews>
  <sheetFormatPr defaultRowHeight="15" x14ac:dyDescent="0.25"/>
  <cols>
    <col min="1" max="1" width="10" customWidth="1"/>
    <col min="2" max="2" width="11.5703125" style="6" customWidth="1"/>
    <col min="3" max="3" width="9.140625" style="20"/>
    <col min="5" max="5" width="7.7109375" style="6" customWidth="1"/>
    <col min="6" max="6" width="9.140625" style="1"/>
    <col min="8" max="8" width="9.140625" style="1"/>
  </cols>
  <sheetData>
    <row r="1" spans="1:8" x14ac:dyDescent="0.25">
      <c r="B1" s="6" t="s">
        <v>133</v>
      </c>
      <c r="C1" s="20" t="s">
        <v>1</v>
      </c>
    </row>
    <row r="2" spans="1:8" x14ac:dyDescent="0.25">
      <c r="C2" s="20">
        <v>145</v>
      </c>
      <c r="D2">
        <v>112</v>
      </c>
    </row>
    <row r="3" spans="1:8" s="27" customFormat="1" ht="45" x14ac:dyDescent="0.25">
      <c r="B3" s="7" t="s">
        <v>144</v>
      </c>
      <c r="C3" s="21" t="s">
        <v>102</v>
      </c>
      <c r="D3" s="27" t="s">
        <v>103</v>
      </c>
      <c r="E3" s="7" t="s">
        <v>106</v>
      </c>
      <c r="F3" s="26" t="s">
        <v>105</v>
      </c>
      <c r="G3" s="27" t="s">
        <v>108</v>
      </c>
      <c r="H3" s="26" t="s">
        <v>107</v>
      </c>
    </row>
    <row r="4" spans="1:8" x14ac:dyDescent="0.25">
      <c r="B4" s="6">
        <f>C$2/2</f>
        <v>72.5</v>
      </c>
      <c r="C4" s="20">
        <v>2</v>
      </c>
      <c r="D4" s="28">
        <v>93.2</v>
      </c>
      <c r="E4" s="6">
        <f>D4/$B$4</f>
        <v>1.2855172413793103</v>
      </c>
      <c r="F4" s="1">
        <f>2*DEGREES(ASIN((E4/2)))</f>
        <v>79.995663643749594</v>
      </c>
      <c r="G4">
        <v>80</v>
      </c>
      <c r="H4" s="1">
        <f>$C$2*SIN(RADIANS(G4/2))</f>
        <v>93.204203404548196</v>
      </c>
    </row>
    <row r="5" spans="1:8" x14ac:dyDescent="0.25">
      <c r="B5" s="6">
        <f>C$2/2</f>
        <v>72.5</v>
      </c>
      <c r="C5" s="20">
        <v>2</v>
      </c>
      <c r="D5" s="28">
        <v>111.08</v>
      </c>
      <c r="E5" s="6">
        <f>D5/$B$5</f>
        <v>1.5321379310344827</v>
      </c>
      <c r="F5" s="1">
        <f>2*DEGREES(ASIN((E5/2)))</f>
        <v>100.00437177644633</v>
      </c>
      <c r="G5">
        <v>100</v>
      </c>
      <c r="H5" s="1">
        <f>D5</f>
        <v>111.08</v>
      </c>
    </row>
    <row r="6" spans="1:8" x14ac:dyDescent="0.25">
      <c r="B6" s="6">
        <f>D$2/2</f>
        <v>56</v>
      </c>
      <c r="C6" s="20">
        <v>2</v>
      </c>
      <c r="D6" s="28">
        <f>D4*D2/C2</f>
        <v>71.988965517241382</v>
      </c>
      <c r="E6" s="6">
        <f>D6/$B$6</f>
        <v>1.2855172413793103</v>
      </c>
      <c r="F6" s="1">
        <f>2*DEGREES(ASIN((E6/2)))</f>
        <v>79.995663643749594</v>
      </c>
      <c r="G6">
        <v>80</v>
      </c>
      <c r="H6" s="1">
        <f>D6</f>
        <v>71.988965517241382</v>
      </c>
    </row>
    <row r="7" spans="1:8" x14ac:dyDescent="0.25">
      <c r="B7" s="6">
        <f>D$2/2</f>
        <v>56</v>
      </c>
      <c r="C7" s="20">
        <v>2</v>
      </c>
      <c r="D7" s="28">
        <f>D5*D2/C2</f>
        <v>85.799724137931022</v>
      </c>
      <c r="E7" s="6">
        <f>D7/$B$7</f>
        <v>1.5321379310344825</v>
      </c>
      <c r="F7" s="1">
        <f>2*DEGREES(ASIN((E7/2)))</f>
        <v>100.00437177644631</v>
      </c>
      <c r="G7">
        <v>100</v>
      </c>
      <c r="H7" s="1">
        <f>D7</f>
        <v>85.799724137931022</v>
      </c>
    </row>
    <row r="8" spans="1:8" x14ac:dyDescent="0.25">
      <c r="D8" s="28"/>
    </row>
    <row r="9" spans="1:8" x14ac:dyDescent="0.25">
      <c r="A9" t="s">
        <v>145</v>
      </c>
      <c r="C9" s="20">
        <v>96</v>
      </c>
      <c r="D9" s="28"/>
    </row>
    <row r="11" spans="1:8" x14ac:dyDescent="0.25">
      <c r="B11" s="6">
        <v>78.5</v>
      </c>
      <c r="C11" s="20">
        <f>C9/B11</f>
        <v>1.2229299363057324</v>
      </c>
      <c r="D11" s="28">
        <v>101</v>
      </c>
      <c r="E11" s="6">
        <f>D11/$B$11</f>
        <v>1.286624203821656</v>
      </c>
      <c r="F11" s="1">
        <f t="shared" ref="F11:F12" si="0">2*DEGREES(ASIN((E11/2)))</f>
        <v>80.078480643775407</v>
      </c>
      <c r="G11">
        <v>80</v>
      </c>
      <c r="H11" s="1">
        <f>$C$9*SIN(RADIANS(G11/2))</f>
        <v>61.707610529907768</v>
      </c>
    </row>
    <row r="12" spans="1:8" x14ac:dyDescent="0.25">
      <c r="B12" s="6">
        <v>78.5</v>
      </c>
      <c r="C12" s="20">
        <f>C9/B12</f>
        <v>1.2229299363057324</v>
      </c>
      <c r="D12">
        <v>121.5</v>
      </c>
      <c r="E12" s="6">
        <f>D12/$B$12</f>
        <v>1.5477707006369428</v>
      </c>
      <c r="F12" s="1">
        <f t="shared" si="0"/>
        <v>101.40816721227537</v>
      </c>
      <c r="G12">
        <v>100</v>
      </c>
      <c r="H12" s="1">
        <f>$C$9*SIN(RADIANS(G12/2))</f>
        <v>73.540266539421893</v>
      </c>
    </row>
    <row r="13" spans="1:8" x14ac:dyDescent="0.25">
      <c r="A13" s="27"/>
      <c r="B13" s="7"/>
      <c r="C13" s="21"/>
      <c r="D13" s="27"/>
      <c r="E13" s="7"/>
      <c r="F13" s="26"/>
      <c r="G13" s="27"/>
      <c r="H13" s="26"/>
    </row>
    <row r="21" spans="2:8" x14ac:dyDescent="0.25">
      <c r="B21"/>
      <c r="C21"/>
      <c r="E21"/>
      <c r="F21"/>
      <c r="H21"/>
    </row>
    <row r="22" spans="2:8" x14ac:dyDescent="0.25">
      <c r="B22"/>
      <c r="C22"/>
      <c r="E22"/>
      <c r="F22"/>
      <c r="H22"/>
    </row>
    <row r="23" spans="2:8" x14ac:dyDescent="0.25">
      <c r="B23"/>
      <c r="C23"/>
      <c r="E23"/>
      <c r="F23"/>
      <c r="H23"/>
    </row>
    <row r="25" spans="2:8" x14ac:dyDescent="0.25">
      <c r="B25"/>
      <c r="C25"/>
      <c r="E25"/>
      <c r="F25"/>
      <c r="H25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5" sqref="H5"/>
    </sheetView>
  </sheetViews>
  <sheetFormatPr defaultRowHeight="15" x14ac:dyDescent="0.25"/>
  <cols>
    <col min="1" max="1" width="10" customWidth="1"/>
    <col min="2" max="2" width="11.5703125" style="6" customWidth="1"/>
    <col min="3" max="3" width="9.140625" style="20"/>
    <col min="5" max="5" width="7.7109375" style="6" customWidth="1"/>
    <col min="6" max="6" width="9.140625" style="1"/>
    <col min="8" max="8" width="9.140625" style="1"/>
  </cols>
  <sheetData>
    <row r="1" spans="1:8" x14ac:dyDescent="0.25">
      <c r="B1" s="6" t="s">
        <v>143</v>
      </c>
      <c r="C1" s="20" t="s">
        <v>1</v>
      </c>
    </row>
    <row r="2" spans="1:8" x14ac:dyDescent="0.25">
      <c r="C2" s="20">
        <v>107</v>
      </c>
    </row>
    <row r="3" spans="1:8" s="32" customFormat="1" ht="45" x14ac:dyDescent="0.25">
      <c r="B3" s="7" t="s">
        <v>144</v>
      </c>
      <c r="C3" s="21" t="s">
        <v>102</v>
      </c>
      <c r="D3" s="32" t="s">
        <v>103</v>
      </c>
      <c r="E3" s="7" t="s">
        <v>106</v>
      </c>
      <c r="F3" s="31" t="s">
        <v>105</v>
      </c>
      <c r="G3" s="32" t="s">
        <v>108</v>
      </c>
      <c r="H3" s="31" t="s">
        <v>107</v>
      </c>
    </row>
    <row r="4" spans="1:8" x14ac:dyDescent="0.25">
      <c r="B4" s="6">
        <v>61</v>
      </c>
      <c r="C4" s="20">
        <v>2</v>
      </c>
      <c r="D4" s="28">
        <v>98.5</v>
      </c>
      <c r="E4" s="6">
        <f>D4/$B$4</f>
        <v>1.6147540983606556</v>
      </c>
      <c r="F4" s="1">
        <f>2*DEGREES(ASIN((E4/2)))</f>
        <v>107.68089592675626</v>
      </c>
      <c r="G4">
        <v>108</v>
      </c>
      <c r="H4" s="1">
        <f>$C$2*SIN(RADIANS(G4/2))</f>
        <v>86.564818398119371</v>
      </c>
    </row>
    <row r="5" spans="1:8" x14ac:dyDescent="0.25">
      <c r="B5" s="6">
        <v>61</v>
      </c>
      <c r="C5" s="20">
        <f>B5/C2</f>
        <v>0.57009345794392519</v>
      </c>
      <c r="D5" s="28">
        <v>72</v>
      </c>
      <c r="E5" s="6">
        <f>D5/$B$4</f>
        <v>1.180327868852459</v>
      </c>
      <c r="F5" s="1">
        <f>2*DEGREES(ASIN((E5/2)))</f>
        <v>72.337284695157479</v>
      </c>
      <c r="G5">
        <v>72</v>
      </c>
      <c r="H5" s="1">
        <f>$C$2*SIN(RADIANS(G5/2))</f>
        <v>62.893021995294625</v>
      </c>
    </row>
    <row r="7" spans="1:8" x14ac:dyDescent="0.25">
      <c r="A7" s="32"/>
      <c r="B7" s="7"/>
      <c r="C7" s="21"/>
      <c r="D7" s="32"/>
      <c r="E7" s="7"/>
      <c r="F7" s="31"/>
      <c r="G7" s="32"/>
      <c r="H7" s="31"/>
    </row>
    <row r="15" spans="1:8" x14ac:dyDescent="0.25">
      <c r="B15"/>
      <c r="C15"/>
      <c r="E15"/>
      <c r="F15"/>
      <c r="H15"/>
    </row>
    <row r="16" spans="1:8" x14ac:dyDescent="0.25">
      <c r="B16"/>
      <c r="C16"/>
      <c r="E16"/>
      <c r="F16"/>
      <c r="H16"/>
    </row>
    <row r="17" spans="2:8" x14ac:dyDescent="0.25">
      <c r="B17"/>
      <c r="C17"/>
      <c r="E17"/>
      <c r="F17"/>
      <c r="H17"/>
    </row>
    <row r="19" spans="2:8" x14ac:dyDescent="0.25">
      <c r="B19"/>
      <c r="C19"/>
      <c r="E19"/>
      <c r="F19"/>
      <c r="H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B1" workbookViewId="0">
      <selection activeCell="E9" sqref="E9"/>
    </sheetView>
  </sheetViews>
  <sheetFormatPr defaultRowHeight="15" x14ac:dyDescent="0.25"/>
  <cols>
    <col min="3" max="3" width="5.5703125" customWidth="1"/>
    <col min="4" max="4" width="5.85546875" customWidth="1"/>
    <col min="5" max="5" width="6.42578125" style="1" customWidth="1"/>
    <col min="6" max="7" width="5.85546875" style="1" customWidth="1"/>
    <col min="8" max="9" width="6.140625" style="1" customWidth="1"/>
    <col min="10" max="10" width="5.85546875" style="1" customWidth="1"/>
    <col min="11" max="11" width="6.140625" style="1" customWidth="1"/>
  </cols>
  <sheetData>
    <row r="1" spans="1:12" s="3" customFormat="1" ht="30" x14ac:dyDescent="0.25">
      <c r="A1" s="3" t="s">
        <v>7</v>
      </c>
      <c r="B1" s="3" t="s">
        <v>129</v>
      </c>
      <c r="C1" s="3" t="s">
        <v>1</v>
      </c>
      <c r="D1" s="3" t="s">
        <v>29</v>
      </c>
      <c r="E1" s="33" t="s">
        <v>32</v>
      </c>
      <c r="F1" s="34"/>
      <c r="G1" s="34"/>
      <c r="H1" s="33" t="s">
        <v>9</v>
      </c>
      <c r="I1" s="34"/>
      <c r="J1" s="34"/>
      <c r="K1" s="4" t="s">
        <v>8</v>
      </c>
    </row>
    <row r="3" spans="1:12" x14ac:dyDescent="0.25">
      <c r="C3">
        <v>146</v>
      </c>
      <c r="D3">
        <v>44</v>
      </c>
      <c r="E3" s="1">
        <f t="shared" ref="E3:E7" si="0">C3*SIN(RADIANS(H3/2))</f>
        <v>103.23759005323593</v>
      </c>
      <c r="H3" s="1">
        <v>90</v>
      </c>
      <c r="L3" t="s">
        <v>10</v>
      </c>
    </row>
    <row r="4" spans="1:12" x14ac:dyDescent="0.25">
      <c r="C4">
        <v>145</v>
      </c>
      <c r="D4">
        <v>44</v>
      </c>
      <c r="E4" s="1">
        <f t="shared" si="0"/>
        <v>102.53048327204938</v>
      </c>
      <c r="H4" s="1">
        <v>90</v>
      </c>
      <c r="L4" t="s">
        <v>11</v>
      </c>
    </row>
    <row r="5" spans="1:12" x14ac:dyDescent="0.25">
      <c r="C5">
        <v>120</v>
      </c>
      <c r="D5">
        <v>36</v>
      </c>
      <c r="E5" s="1">
        <f t="shared" si="0"/>
        <v>84.852813742385692</v>
      </c>
      <c r="H5" s="1">
        <v>90</v>
      </c>
      <c r="L5" t="s">
        <v>118</v>
      </c>
    </row>
    <row r="6" spans="1:12" x14ac:dyDescent="0.25">
      <c r="C6">
        <v>112</v>
      </c>
      <c r="D6">
        <v>34</v>
      </c>
      <c r="E6" s="1">
        <f t="shared" ref="E6" si="1">C6*SIN(RADIANS(H6/2))</f>
        <v>79.195959492893309</v>
      </c>
      <c r="H6" s="1">
        <v>90</v>
      </c>
      <c r="L6" t="s">
        <v>124</v>
      </c>
    </row>
    <row r="7" spans="1:12" x14ac:dyDescent="0.25">
      <c r="C7">
        <v>110</v>
      </c>
      <c r="D7">
        <v>34</v>
      </c>
      <c r="E7" s="1">
        <f t="shared" si="0"/>
        <v>77.781745930520216</v>
      </c>
      <c r="H7" s="1">
        <v>90</v>
      </c>
      <c r="L7" t="s">
        <v>127</v>
      </c>
    </row>
    <row r="8" spans="1:12" x14ac:dyDescent="0.25">
      <c r="C8">
        <v>104</v>
      </c>
      <c r="D8">
        <v>30</v>
      </c>
      <c r="E8" s="1">
        <f t="shared" ref="E8:E14" si="2">C8*SIN(RADIANS(H8/2))</f>
        <v>73.53910524340094</v>
      </c>
      <c r="H8" s="1">
        <v>90</v>
      </c>
      <c r="L8" t="s">
        <v>97</v>
      </c>
    </row>
    <row r="9" spans="1:12" x14ac:dyDescent="0.25">
      <c r="C9">
        <v>102</v>
      </c>
      <c r="D9">
        <v>32</v>
      </c>
      <c r="E9" s="1">
        <f t="shared" si="2"/>
        <v>72.124891681027847</v>
      </c>
      <c r="H9" s="1">
        <v>90</v>
      </c>
      <c r="L9" t="s">
        <v>31</v>
      </c>
    </row>
    <row r="10" spans="1:12" x14ac:dyDescent="0.25">
      <c r="C10">
        <v>96</v>
      </c>
      <c r="D10">
        <v>30</v>
      </c>
      <c r="E10" s="1">
        <f t="shared" si="2"/>
        <v>67.882250993908556</v>
      </c>
      <c r="H10" s="1">
        <v>90</v>
      </c>
      <c r="L10" t="s">
        <v>96</v>
      </c>
    </row>
    <row r="11" spans="1:12" x14ac:dyDescent="0.25">
      <c r="C11">
        <v>94</v>
      </c>
      <c r="D11">
        <v>30</v>
      </c>
      <c r="E11" s="1">
        <f t="shared" si="2"/>
        <v>66.468037431535464</v>
      </c>
      <c r="H11" s="1">
        <v>90</v>
      </c>
      <c r="L11" t="s">
        <v>22</v>
      </c>
    </row>
    <row r="12" spans="1:12" x14ac:dyDescent="0.25">
      <c r="C12">
        <v>90</v>
      </c>
      <c r="D12">
        <v>30</v>
      </c>
      <c r="E12" s="1">
        <f t="shared" si="2"/>
        <v>63.639610306789272</v>
      </c>
      <c r="H12" s="1">
        <v>90</v>
      </c>
      <c r="L12" t="s">
        <v>115</v>
      </c>
    </row>
    <row r="13" spans="1:12" x14ac:dyDescent="0.25">
      <c r="C13">
        <v>88</v>
      </c>
      <c r="D13">
        <v>28</v>
      </c>
      <c r="E13" s="1">
        <f t="shared" si="2"/>
        <v>62.225396744416173</v>
      </c>
      <c r="H13" s="1">
        <v>90</v>
      </c>
      <c r="L13" t="s">
        <v>23</v>
      </c>
    </row>
    <row r="14" spans="1:12" x14ac:dyDescent="0.25">
      <c r="C14">
        <v>68</v>
      </c>
      <c r="D14">
        <v>22</v>
      </c>
      <c r="E14" s="1">
        <f t="shared" si="2"/>
        <v>48.083261120685229</v>
      </c>
      <c r="H14" s="1">
        <v>90</v>
      </c>
      <c r="L14" t="s">
        <v>25</v>
      </c>
    </row>
    <row r="15" spans="1:12" x14ac:dyDescent="0.25">
      <c r="C15">
        <v>68</v>
      </c>
      <c r="D15">
        <v>22</v>
      </c>
      <c r="E15" s="1">
        <f>C15*SIN(RADIANS(H15/2))</f>
        <v>48.083261120685229</v>
      </c>
      <c r="H15" s="1">
        <v>90</v>
      </c>
      <c r="L15" t="s">
        <v>116</v>
      </c>
    </row>
    <row r="16" spans="1:12" x14ac:dyDescent="0.25">
      <c r="C16">
        <v>64</v>
      </c>
      <c r="D16">
        <v>22</v>
      </c>
      <c r="E16" s="1">
        <f>C16*SIN(RADIANS(H16/2))</f>
        <v>45.254833995939038</v>
      </c>
      <c r="H16" s="1">
        <v>90</v>
      </c>
      <c r="L16" t="s">
        <v>98</v>
      </c>
    </row>
    <row r="17" spans="3:12" x14ac:dyDescent="0.25">
      <c r="C17">
        <v>58</v>
      </c>
      <c r="D17">
        <v>20</v>
      </c>
      <c r="E17" s="1">
        <f>C17*SIN(RADIANS(H17/2))</f>
        <v>41.012193308819754</v>
      </c>
      <c r="H17" s="1">
        <v>90</v>
      </c>
      <c r="L17" t="s">
        <v>28</v>
      </c>
    </row>
  </sheetData>
  <mergeCells count="2">
    <mergeCell ref="E1:G1"/>
    <mergeCell ref="H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F7" sqref="F7"/>
    </sheetView>
  </sheetViews>
  <sheetFormatPr defaultRowHeight="15" x14ac:dyDescent="0.25"/>
  <cols>
    <col min="3" max="3" width="5.5703125" customWidth="1"/>
    <col min="4" max="4" width="5.85546875" customWidth="1"/>
    <col min="5" max="5" width="6.42578125" style="1" customWidth="1"/>
    <col min="6" max="7" width="5.85546875" style="1" customWidth="1"/>
    <col min="8" max="9" width="6.140625" style="1" customWidth="1"/>
    <col min="10" max="10" width="5.85546875" style="1" customWidth="1"/>
    <col min="11" max="11" width="6.140625" style="1" customWidth="1"/>
  </cols>
  <sheetData>
    <row r="1" spans="1:12" s="25" customFormat="1" ht="30" x14ac:dyDescent="0.25">
      <c r="A1" s="25" t="s">
        <v>128</v>
      </c>
      <c r="C1" s="25" t="s">
        <v>1</v>
      </c>
      <c r="D1" s="25" t="s">
        <v>29</v>
      </c>
      <c r="E1" s="33" t="s">
        <v>32</v>
      </c>
      <c r="F1" s="34"/>
      <c r="G1" s="34"/>
      <c r="H1" s="33" t="s">
        <v>9</v>
      </c>
      <c r="I1" s="34"/>
      <c r="J1" s="34"/>
      <c r="K1" s="24" t="s">
        <v>8</v>
      </c>
    </row>
    <row r="3" spans="1:12" x14ac:dyDescent="0.25">
      <c r="B3" t="s">
        <v>132</v>
      </c>
      <c r="C3">
        <v>110</v>
      </c>
      <c r="D3">
        <v>34</v>
      </c>
      <c r="E3" s="1">
        <f t="shared" ref="E3:E4" si="0">C3*SIN(RADIANS(H3/2))</f>
        <v>90.106724871789098</v>
      </c>
      <c r="F3" s="1">
        <f t="shared" ref="F3:F13" si="1">C3*SIN(RADIANS(I3/2))</f>
        <v>63.093407998615064</v>
      </c>
      <c r="H3" s="1">
        <v>110</v>
      </c>
      <c r="I3" s="1">
        <v>70</v>
      </c>
      <c r="K3" s="1">
        <f>2*(H3+I3)</f>
        <v>360</v>
      </c>
      <c r="L3" t="s">
        <v>14</v>
      </c>
    </row>
    <row r="4" spans="1:12" x14ac:dyDescent="0.25">
      <c r="B4" t="s">
        <v>132</v>
      </c>
      <c r="C4">
        <v>110</v>
      </c>
      <c r="D4">
        <v>34</v>
      </c>
      <c r="E4" s="1">
        <f t="shared" si="0"/>
        <v>88.991869381244214</v>
      </c>
      <c r="F4" s="1">
        <f t="shared" si="1"/>
        <v>64.656377752172048</v>
      </c>
      <c r="H4" s="1">
        <v>108</v>
      </c>
      <c r="I4" s="1">
        <v>72</v>
      </c>
      <c r="K4" s="1">
        <f>2*(H4+I4)</f>
        <v>360</v>
      </c>
      <c r="L4" t="s">
        <v>15</v>
      </c>
    </row>
    <row r="5" spans="1:12" x14ac:dyDescent="0.25">
      <c r="C5">
        <v>110</v>
      </c>
      <c r="D5">
        <v>34</v>
      </c>
      <c r="E5" s="1">
        <f>C5*SIN(RADIANS(H5/2))</f>
        <v>84.264888743087582</v>
      </c>
      <c r="F5" s="1">
        <f t="shared" si="1"/>
        <v>77.781745930520216</v>
      </c>
      <c r="G5" s="1">
        <f>C5*SIN(RADIANS(J5/2))</f>
        <v>70.706637065519317</v>
      </c>
      <c r="H5" s="1">
        <v>100</v>
      </c>
      <c r="I5" s="1">
        <v>90</v>
      </c>
      <c r="J5" s="1">
        <v>80</v>
      </c>
      <c r="K5" s="1">
        <f>H5+2*I5+J5</f>
        <v>360</v>
      </c>
      <c r="L5" t="s">
        <v>126</v>
      </c>
    </row>
    <row r="6" spans="1:12" x14ac:dyDescent="0.25">
      <c r="C6">
        <v>100</v>
      </c>
      <c r="D6">
        <v>32</v>
      </c>
      <c r="E6" s="1">
        <f>C6*SIN(RADIANS(H6/2))</f>
        <v>92.718385456678746</v>
      </c>
      <c r="F6" s="1">
        <f t="shared" si="1"/>
        <v>58.778525229247315</v>
      </c>
      <c r="G6" s="1">
        <f>C6*SIN(RADIANS(J6/2))</f>
        <v>64.278760968653927</v>
      </c>
      <c r="H6" s="1">
        <v>136</v>
      </c>
      <c r="I6" s="1">
        <v>72</v>
      </c>
      <c r="J6" s="1">
        <v>80</v>
      </c>
      <c r="K6" s="1">
        <f>H6+2*I6+J6</f>
        <v>360</v>
      </c>
      <c r="L6" t="s">
        <v>18</v>
      </c>
    </row>
    <row r="7" spans="1:12" x14ac:dyDescent="0.25">
      <c r="C7">
        <v>96</v>
      </c>
      <c r="D7">
        <v>36</v>
      </c>
      <c r="E7" s="1">
        <f>C7*SIN(RADIANS(H7/2))</f>
        <v>73.540266539421893</v>
      </c>
      <c r="F7" s="1">
        <f t="shared" si="1"/>
        <v>67.882250993908556</v>
      </c>
      <c r="G7" s="1">
        <f>C7*SIN(RADIANS(J7/2))</f>
        <v>61.707610529907768</v>
      </c>
      <c r="H7" s="1">
        <v>100</v>
      </c>
      <c r="I7" s="1">
        <v>90</v>
      </c>
      <c r="J7" s="1">
        <v>80</v>
      </c>
      <c r="K7" s="1">
        <f>H7+2*I7+J7</f>
        <v>360</v>
      </c>
      <c r="L7" t="s">
        <v>117</v>
      </c>
    </row>
    <row r="8" spans="1:12" x14ac:dyDescent="0.25">
      <c r="B8" t="s">
        <v>132</v>
      </c>
      <c r="C8">
        <v>96</v>
      </c>
      <c r="D8">
        <v>30</v>
      </c>
      <c r="E8" s="1">
        <f t="shared" ref="E8:E12" si="2">C8*SIN(RADIANS(H8/2))</f>
        <v>78.638596251743209</v>
      </c>
      <c r="F8" s="1">
        <f t="shared" si="1"/>
        <v>55.063337889700421</v>
      </c>
      <c r="H8" s="1">
        <v>110</v>
      </c>
      <c r="I8" s="1">
        <v>70</v>
      </c>
      <c r="K8" s="1">
        <f>2*(H8+I8)</f>
        <v>360</v>
      </c>
      <c r="L8" t="s">
        <v>20</v>
      </c>
    </row>
    <row r="9" spans="1:12" x14ac:dyDescent="0.25">
      <c r="B9" t="s">
        <v>132</v>
      </c>
      <c r="C9">
        <v>96</v>
      </c>
      <c r="D9">
        <v>30</v>
      </c>
      <c r="E9" s="1">
        <f>C9*SIN(RADIANS(H9/2))</f>
        <v>78.638596251743209</v>
      </c>
      <c r="F9" s="1">
        <f t="shared" si="1"/>
        <v>55.063337889700421</v>
      </c>
      <c r="H9" s="1">
        <v>110</v>
      </c>
      <c r="I9" s="1">
        <v>70</v>
      </c>
      <c r="K9" s="1">
        <f>2*(I9+H9)</f>
        <v>360</v>
      </c>
      <c r="L9" t="s">
        <v>21</v>
      </c>
    </row>
    <row r="10" spans="1:12" x14ac:dyDescent="0.25">
      <c r="B10" t="s">
        <v>132</v>
      </c>
      <c r="C10">
        <v>76</v>
      </c>
      <c r="D10">
        <v>26</v>
      </c>
      <c r="E10" s="1">
        <f t="shared" si="2"/>
        <v>65.817930687617334</v>
      </c>
      <c r="F10" s="1">
        <f t="shared" si="1"/>
        <v>48.851858336176981</v>
      </c>
      <c r="H10" s="1">
        <v>120</v>
      </c>
      <c r="I10" s="1">
        <v>80</v>
      </c>
      <c r="K10" s="1">
        <f>3*(I10)+H10</f>
        <v>360</v>
      </c>
      <c r="L10" t="s">
        <v>112</v>
      </c>
    </row>
    <row r="11" spans="1:12" x14ac:dyDescent="0.25">
      <c r="C11">
        <v>76</v>
      </c>
      <c r="D11">
        <v>25</v>
      </c>
      <c r="E11" s="1">
        <f t="shared" si="2"/>
        <v>62.255555365963374</v>
      </c>
      <c r="F11" s="1">
        <f t="shared" si="1"/>
        <v>53.740115370177605</v>
      </c>
      <c r="G11" s="1">
        <f>C11*SIN(RADIANS(J11/2))</f>
        <v>48.851858336176981</v>
      </c>
      <c r="H11" s="1">
        <v>110</v>
      </c>
      <c r="I11" s="1">
        <v>90</v>
      </c>
      <c r="J11" s="1">
        <v>80</v>
      </c>
      <c r="K11" s="1">
        <f>H11+I11+2*J11</f>
        <v>360</v>
      </c>
      <c r="L11" t="s">
        <v>24</v>
      </c>
    </row>
    <row r="12" spans="1:12" x14ac:dyDescent="0.25">
      <c r="C12">
        <v>68</v>
      </c>
      <c r="D12">
        <v>22</v>
      </c>
      <c r="E12" s="1">
        <f t="shared" si="2"/>
        <v>52.091022132090508</v>
      </c>
      <c r="F12" s="1">
        <f t="shared" si="1"/>
        <v>48.083261120685229</v>
      </c>
      <c r="G12" s="1">
        <f>C12*SIN(RADIANS(J12/2))</f>
        <v>43.709557458684671</v>
      </c>
      <c r="H12" s="1">
        <v>100</v>
      </c>
      <c r="I12" s="1">
        <v>90</v>
      </c>
      <c r="J12" s="1">
        <v>80</v>
      </c>
      <c r="K12" s="1">
        <f>H12+2*I12+J12</f>
        <v>360</v>
      </c>
      <c r="L12" t="s">
        <v>117</v>
      </c>
    </row>
    <row r="13" spans="1:12" x14ac:dyDescent="0.25">
      <c r="B13" t="s">
        <v>132</v>
      </c>
      <c r="C13">
        <v>64</v>
      </c>
      <c r="D13">
        <v>22</v>
      </c>
      <c r="E13" s="1">
        <f>C13*SIN(RADIANS(H13/2))</f>
        <v>52.425730834495475</v>
      </c>
      <c r="F13" s="1">
        <f t="shared" si="1"/>
        <v>36.708891926466947</v>
      </c>
      <c r="H13" s="1">
        <v>110</v>
      </c>
      <c r="I13" s="1">
        <v>70</v>
      </c>
      <c r="K13" s="1">
        <f>2*(H13+I13)</f>
        <v>360</v>
      </c>
      <c r="L13" t="s">
        <v>27</v>
      </c>
    </row>
  </sheetData>
  <mergeCells count="2">
    <mergeCell ref="E1:G1"/>
    <mergeCell ref="H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K13" sqref="K13"/>
    </sheetView>
  </sheetViews>
  <sheetFormatPr defaultRowHeight="15" x14ac:dyDescent="0.25"/>
  <cols>
    <col min="4" max="8" width="9.140625" style="1"/>
  </cols>
  <sheetData>
    <row r="1" spans="1:11" x14ac:dyDescent="0.25">
      <c r="A1" t="s">
        <v>0</v>
      </c>
      <c r="B1" t="s">
        <v>1</v>
      </c>
      <c r="D1" s="1" t="s">
        <v>2</v>
      </c>
      <c r="E1" s="1" t="s">
        <v>3</v>
      </c>
      <c r="I1" t="s">
        <v>6</v>
      </c>
    </row>
    <row r="3" spans="1:11" x14ac:dyDescent="0.25">
      <c r="A3">
        <v>151</v>
      </c>
      <c r="B3">
        <v>44</v>
      </c>
      <c r="C3" s="1">
        <f t="shared" ref="C3:C15" si="0">A3*SIN(RADIANS(36))</f>
        <v>88.755573096163445</v>
      </c>
      <c r="D3" s="1">
        <f t="shared" ref="D3:D15" si="1">A3*SIN(RADIANS(72))</f>
        <v>143.60953396056817</v>
      </c>
      <c r="H3">
        <f>C3/SIN(RADIANS(36))</f>
        <v>151</v>
      </c>
      <c r="K3" t="s">
        <v>33</v>
      </c>
    </row>
    <row r="4" spans="1:11" x14ac:dyDescent="0.25">
      <c r="A4">
        <v>144</v>
      </c>
      <c r="B4">
        <v>41</v>
      </c>
      <c r="C4" s="1">
        <f t="shared" si="0"/>
        <v>84.641076330116135</v>
      </c>
      <c r="D4" s="1">
        <f t="shared" si="1"/>
        <v>136.9521383465021</v>
      </c>
      <c r="H4"/>
      <c r="K4" t="s">
        <v>34</v>
      </c>
    </row>
    <row r="5" spans="1:11" x14ac:dyDescent="0.25">
      <c r="A5">
        <v>135</v>
      </c>
      <c r="B5">
        <v>39</v>
      </c>
      <c r="C5" s="1">
        <f t="shared" si="0"/>
        <v>79.351009059483872</v>
      </c>
      <c r="D5" s="1">
        <f t="shared" si="1"/>
        <v>128.39262969984571</v>
      </c>
      <c r="H5"/>
      <c r="K5" t="s">
        <v>35</v>
      </c>
    </row>
    <row r="6" spans="1:11" x14ac:dyDescent="0.25">
      <c r="A6">
        <v>130</v>
      </c>
      <c r="B6">
        <v>38</v>
      </c>
      <c r="C6" s="1">
        <f t="shared" si="0"/>
        <v>76.412082798021501</v>
      </c>
      <c r="D6" s="1">
        <f t="shared" si="1"/>
        <v>123.63734711836996</v>
      </c>
      <c r="H6"/>
      <c r="K6" t="s">
        <v>36</v>
      </c>
    </row>
    <row r="7" spans="1:11" x14ac:dyDescent="0.25">
      <c r="A7">
        <v>128</v>
      </c>
      <c r="B7">
        <v>38</v>
      </c>
      <c r="C7" s="1">
        <f t="shared" si="0"/>
        <v>75.236512293436562</v>
      </c>
      <c r="D7" s="1">
        <f t="shared" si="1"/>
        <v>121.73523408577965</v>
      </c>
      <c r="H7"/>
      <c r="K7" t="s">
        <v>37</v>
      </c>
    </row>
    <row r="8" spans="1:11" x14ac:dyDescent="0.25">
      <c r="A8">
        <v>122</v>
      </c>
      <c r="B8">
        <v>38</v>
      </c>
      <c r="C8" s="1">
        <f t="shared" si="0"/>
        <v>71.709800779681728</v>
      </c>
      <c r="D8" s="1">
        <f t="shared" si="1"/>
        <v>116.02889498800873</v>
      </c>
      <c r="H8"/>
      <c r="K8" t="s">
        <v>38</v>
      </c>
    </row>
    <row r="9" spans="1:11" x14ac:dyDescent="0.25">
      <c r="A9">
        <v>118</v>
      </c>
      <c r="B9">
        <v>36</v>
      </c>
      <c r="C9" s="1">
        <f t="shared" si="0"/>
        <v>69.358659770511835</v>
      </c>
      <c r="D9" s="1">
        <f t="shared" si="1"/>
        <v>112.22466892282812</v>
      </c>
      <c r="H9"/>
      <c r="K9" t="s">
        <v>39</v>
      </c>
    </row>
    <row r="10" spans="1:11" x14ac:dyDescent="0.25">
      <c r="A10">
        <v>116</v>
      </c>
      <c r="B10">
        <v>35</v>
      </c>
      <c r="C10" s="1">
        <f t="shared" si="0"/>
        <v>68.183089265926881</v>
      </c>
      <c r="D10" s="1">
        <f t="shared" si="1"/>
        <v>110.32255589023781</v>
      </c>
      <c r="H10"/>
      <c r="K10" t="s">
        <v>40</v>
      </c>
    </row>
    <row r="11" spans="1:11" x14ac:dyDescent="0.25">
      <c r="A11">
        <v>110</v>
      </c>
      <c r="B11">
        <v>34</v>
      </c>
      <c r="C11" s="1">
        <f t="shared" si="0"/>
        <v>64.656377752172048</v>
      </c>
      <c r="D11" s="1">
        <f t="shared" si="1"/>
        <v>104.61621679246689</v>
      </c>
      <c r="H11"/>
      <c r="K11" t="s">
        <v>53</v>
      </c>
    </row>
    <row r="12" spans="1:11" x14ac:dyDescent="0.25">
      <c r="A12">
        <v>110</v>
      </c>
      <c r="B12">
        <v>33</v>
      </c>
      <c r="C12" s="1">
        <f t="shared" ref="C12:C14" si="2">A12*SIN(RADIANS(36))</f>
        <v>64.656377752172048</v>
      </c>
      <c r="D12" s="1">
        <f t="shared" ref="D12" si="3">A12*SIN(RADIANS(72))</f>
        <v>104.61621679246689</v>
      </c>
      <c r="H12"/>
      <c r="K12" t="s">
        <v>41</v>
      </c>
    </row>
    <row r="13" spans="1:11" x14ac:dyDescent="0.25">
      <c r="A13">
        <v>110</v>
      </c>
      <c r="B13">
        <v>34</v>
      </c>
      <c r="C13" s="1">
        <f>A13*SIN(RADIANS(G13/2))</f>
        <v>84.264888743087582</v>
      </c>
      <c r="D13" s="1">
        <f>A13*SIN(RADIANS(H13/2))</f>
        <v>77.781745930520216</v>
      </c>
      <c r="E13" s="1">
        <f>A13*SIN(RADIANS(I13/2))</f>
        <v>70.706637065519317</v>
      </c>
      <c r="F13" s="1">
        <f>A13*SIN(RADIANS(J13/2))</f>
        <v>46.488008791476936</v>
      </c>
      <c r="G13" s="1">
        <v>100</v>
      </c>
      <c r="H13" s="1">
        <v>90</v>
      </c>
      <c r="I13" s="1">
        <v>80</v>
      </c>
      <c r="J13" s="1">
        <v>50</v>
      </c>
      <c r="K13" t="s">
        <v>125</v>
      </c>
    </row>
    <row r="14" spans="1:11" x14ac:dyDescent="0.25">
      <c r="A14">
        <v>104</v>
      </c>
      <c r="B14">
        <v>35</v>
      </c>
      <c r="C14" s="1">
        <f t="shared" si="2"/>
        <v>61.129666238417208</v>
      </c>
      <c r="D14" s="1">
        <f>A14*SIN(RADIANS(72))</f>
        <v>98.909877694695965</v>
      </c>
      <c r="H14"/>
      <c r="K14" t="s">
        <v>40</v>
      </c>
    </row>
    <row r="15" spans="1:11" x14ac:dyDescent="0.25">
      <c r="A15">
        <v>100</v>
      </c>
      <c r="B15" s="5" t="s">
        <v>54</v>
      </c>
      <c r="C15" s="1">
        <f t="shared" si="0"/>
        <v>58.778525229247315</v>
      </c>
      <c r="D15" s="1">
        <f t="shared" si="1"/>
        <v>95.10565162951535</v>
      </c>
      <c r="H15"/>
      <c r="K15" t="s">
        <v>42</v>
      </c>
    </row>
    <row r="16" spans="1:11" x14ac:dyDescent="0.25">
      <c r="A16">
        <v>94</v>
      </c>
      <c r="B16">
        <v>29</v>
      </c>
      <c r="C16" s="1">
        <f>A16*SIN(RADIANS(36))</f>
        <v>55.251813715492474</v>
      </c>
      <c r="D16" s="1">
        <f>A16*SIN(RADIANS(72))</f>
        <v>89.399312531744428</v>
      </c>
      <c r="H16"/>
      <c r="K16" t="s">
        <v>43</v>
      </c>
    </row>
    <row r="17" spans="1:11" x14ac:dyDescent="0.25">
      <c r="A17">
        <v>92</v>
      </c>
      <c r="B17">
        <v>30</v>
      </c>
      <c r="C17" s="1">
        <f t="shared" ref="C17:C26" si="4">A17*SIN(RADIANS(36))</f>
        <v>54.076243210907528</v>
      </c>
      <c r="D17" s="1">
        <f t="shared" ref="D17:D26" si="5">A17*SIN(RADIANS(72))</f>
        <v>87.497199499154121</v>
      </c>
      <c r="H17"/>
      <c r="K17" t="s">
        <v>44</v>
      </c>
    </row>
    <row r="18" spans="1:11" x14ac:dyDescent="0.25">
      <c r="A18">
        <v>90</v>
      </c>
      <c r="B18">
        <v>30</v>
      </c>
      <c r="C18" s="1">
        <f t="shared" si="4"/>
        <v>52.900672706322581</v>
      </c>
      <c r="D18" s="1">
        <f t="shared" si="5"/>
        <v>85.595086466563814</v>
      </c>
      <c r="H18"/>
      <c r="K18" t="s">
        <v>45</v>
      </c>
    </row>
    <row r="19" spans="1:11" x14ac:dyDescent="0.25">
      <c r="A19">
        <v>86</v>
      </c>
      <c r="B19">
        <v>28</v>
      </c>
      <c r="C19" s="1">
        <f t="shared" si="4"/>
        <v>50.549531697152688</v>
      </c>
      <c r="D19" s="1">
        <f t="shared" si="5"/>
        <v>81.790860401383199</v>
      </c>
      <c r="H19"/>
      <c r="K19" t="s">
        <v>46</v>
      </c>
    </row>
    <row r="20" spans="1:11" x14ac:dyDescent="0.25">
      <c r="A20">
        <v>93</v>
      </c>
      <c r="B20">
        <v>28</v>
      </c>
      <c r="C20" s="18" t="s">
        <v>4</v>
      </c>
      <c r="D20" s="19"/>
      <c r="E20" s="19"/>
      <c r="F20" s="19"/>
      <c r="G20" s="19"/>
      <c r="H20"/>
      <c r="K20" t="s">
        <v>75</v>
      </c>
    </row>
    <row r="21" spans="1:11" x14ac:dyDescent="0.25">
      <c r="A21">
        <v>85</v>
      </c>
      <c r="B21">
        <v>28</v>
      </c>
      <c r="C21" s="1">
        <f t="shared" si="4"/>
        <v>49.961746444860218</v>
      </c>
      <c r="D21" s="1">
        <f t="shared" si="5"/>
        <v>80.839803885088045</v>
      </c>
      <c r="H21"/>
      <c r="K21" t="s">
        <v>47</v>
      </c>
    </row>
    <row r="22" spans="1:11" x14ac:dyDescent="0.25">
      <c r="A22">
        <v>80</v>
      </c>
      <c r="B22">
        <v>26</v>
      </c>
      <c r="C22" s="1">
        <f t="shared" si="4"/>
        <v>47.022820183397855</v>
      </c>
      <c r="D22" s="1">
        <f t="shared" si="5"/>
        <v>76.084521303612277</v>
      </c>
      <c r="H22"/>
      <c r="K22" t="s">
        <v>48</v>
      </c>
    </row>
    <row r="23" spans="1:11" x14ac:dyDescent="0.25">
      <c r="A23">
        <v>74</v>
      </c>
      <c r="B23">
        <v>24</v>
      </c>
      <c r="C23" s="1">
        <f t="shared" si="4"/>
        <v>43.496108669643014</v>
      </c>
      <c r="D23" s="1">
        <f t="shared" si="5"/>
        <v>70.378182205841355</v>
      </c>
      <c r="H23"/>
      <c r="K23" t="s">
        <v>49</v>
      </c>
    </row>
    <row r="24" spans="1:11" x14ac:dyDescent="0.25">
      <c r="A24">
        <v>58</v>
      </c>
      <c r="B24">
        <v>20</v>
      </c>
      <c r="C24" s="1">
        <f t="shared" si="4"/>
        <v>34.091544632963441</v>
      </c>
      <c r="D24" s="1">
        <f t="shared" si="5"/>
        <v>55.161277945118904</v>
      </c>
      <c r="H24"/>
      <c r="K24" t="s">
        <v>50</v>
      </c>
    </row>
    <row r="25" spans="1:11" x14ac:dyDescent="0.25">
      <c r="A25">
        <v>56</v>
      </c>
      <c r="B25">
        <v>20</v>
      </c>
      <c r="C25" s="1">
        <f t="shared" si="4"/>
        <v>32.915974128378494</v>
      </c>
      <c r="D25" s="1">
        <f t="shared" si="5"/>
        <v>53.259164912528597</v>
      </c>
      <c r="H25"/>
      <c r="K25" t="s">
        <v>51</v>
      </c>
    </row>
    <row r="26" spans="1:11" x14ac:dyDescent="0.25">
      <c r="A26">
        <v>50.4</v>
      </c>
      <c r="B26" s="5" t="s">
        <v>55</v>
      </c>
      <c r="C26" s="1">
        <f t="shared" si="4"/>
        <v>29.624376715540645</v>
      </c>
      <c r="D26" s="1">
        <f t="shared" si="5"/>
        <v>47.933248421275735</v>
      </c>
      <c r="H26"/>
      <c r="K26" t="s">
        <v>52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8" sqref="E8"/>
    </sheetView>
  </sheetViews>
  <sheetFormatPr defaultRowHeight="15" x14ac:dyDescent="0.25"/>
  <cols>
    <col min="3" max="3" width="9.140625" style="1"/>
  </cols>
  <sheetData>
    <row r="1" spans="1:5" x14ac:dyDescent="0.25">
      <c r="A1" t="s">
        <v>76</v>
      </c>
      <c r="D1" s="1"/>
    </row>
    <row r="2" spans="1:5" s="8" customFormat="1" ht="75" x14ac:dyDescent="0.25">
      <c r="A2" s="8" t="s">
        <v>1</v>
      </c>
      <c r="B2" s="8" t="s">
        <v>79</v>
      </c>
      <c r="C2" s="11" t="s">
        <v>78</v>
      </c>
      <c r="D2" s="10" t="s">
        <v>92</v>
      </c>
      <c r="E2" s="9" t="s">
        <v>80</v>
      </c>
    </row>
    <row r="3" spans="1:5" x14ac:dyDescent="0.25">
      <c r="A3" s="9">
        <v>157</v>
      </c>
      <c r="B3" s="9"/>
      <c r="C3" s="12">
        <f>A3/2</f>
        <v>78.5</v>
      </c>
      <c r="D3" s="1">
        <f t="shared" ref="D3" si="0">A3*SIN(RADIANS(60))</f>
        <v>135.96598839415685</v>
      </c>
      <c r="E3" s="9" t="s">
        <v>81</v>
      </c>
    </row>
    <row r="4" spans="1:5" x14ac:dyDescent="0.25">
      <c r="A4" s="9">
        <v>152</v>
      </c>
      <c r="B4" s="9">
        <v>43</v>
      </c>
      <c r="C4" s="12">
        <f t="shared" ref="C4:C5" si="1">A4/2</f>
        <v>76</v>
      </c>
      <c r="D4" s="1">
        <f>A4*SIN(RADIANS(60))</f>
        <v>131.63586137523467</v>
      </c>
      <c r="E4" s="9" t="s">
        <v>82</v>
      </c>
    </row>
    <row r="5" spans="1:5" x14ac:dyDescent="0.25">
      <c r="A5" s="9">
        <v>143</v>
      </c>
      <c r="B5" s="9">
        <v>42</v>
      </c>
      <c r="C5" s="12">
        <f t="shared" si="1"/>
        <v>71.5</v>
      </c>
      <c r="D5" s="1">
        <f t="shared" ref="D5:D7" si="2">A5*SIN(RADIANS(60))</f>
        <v>123.84163274117472</v>
      </c>
      <c r="E5" s="9" t="s">
        <v>83</v>
      </c>
    </row>
    <row r="6" spans="1:5" x14ac:dyDescent="0.25">
      <c r="A6" s="9">
        <v>140</v>
      </c>
      <c r="B6" s="9">
        <v>40</v>
      </c>
      <c r="C6" s="12"/>
      <c r="D6" s="1">
        <f t="shared" si="2"/>
        <v>121.2435565298214</v>
      </c>
      <c r="E6" s="9" t="s">
        <v>84</v>
      </c>
    </row>
    <row r="7" spans="1:5" x14ac:dyDescent="0.25">
      <c r="A7" s="9">
        <v>116</v>
      </c>
      <c r="B7" s="9">
        <v>36</v>
      </c>
      <c r="C7" s="12"/>
      <c r="D7" s="1">
        <f t="shared" si="2"/>
        <v>100.45894683899488</v>
      </c>
      <c r="E7" s="9" t="s">
        <v>85</v>
      </c>
    </row>
    <row r="8" spans="1:5" x14ac:dyDescent="0.25">
      <c r="A8" s="9">
        <v>116</v>
      </c>
      <c r="B8" s="9">
        <v>36</v>
      </c>
      <c r="C8" s="12">
        <f>A8/2</f>
        <v>58</v>
      </c>
      <c r="D8" s="1">
        <f>A8*SIN(RADIANS(60))</f>
        <v>100.45894683899488</v>
      </c>
      <c r="E8" s="9" t="s">
        <v>131</v>
      </c>
    </row>
    <row r="9" spans="1:5" x14ac:dyDescent="0.25">
      <c r="A9" s="9">
        <v>112</v>
      </c>
      <c r="B9" s="13" t="s">
        <v>77</v>
      </c>
      <c r="C9" s="12"/>
      <c r="D9" s="1">
        <f t="shared" ref="D9:D16" si="3">A9*SIN(RADIANS(60))</f>
        <v>96.994845223857126</v>
      </c>
      <c r="E9" s="9" t="s">
        <v>86</v>
      </c>
    </row>
    <row r="10" spans="1:5" x14ac:dyDescent="0.25">
      <c r="A10" s="9">
        <v>106</v>
      </c>
      <c r="B10" s="9">
        <v>32</v>
      </c>
      <c r="C10" s="12"/>
      <c r="D10" s="1">
        <f t="shared" si="3"/>
        <v>91.798692801150494</v>
      </c>
      <c r="E10" s="9" t="s">
        <v>87</v>
      </c>
    </row>
    <row r="11" spans="1:5" x14ac:dyDescent="0.25">
      <c r="A11" s="9">
        <v>95</v>
      </c>
      <c r="B11" s="9">
        <v>30</v>
      </c>
      <c r="C11" s="12"/>
      <c r="D11" s="1">
        <f t="shared" si="3"/>
        <v>82.272413359521664</v>
      </c>
      <c r="E11" s="9" t="s">
        <v>88</v>
      </c>
    </row>
    <row r="12" spans="1:5" x14ac:dyDescent="0.25">
      <c r="A12" s="9">
        <v>88.9</v>
      </c>
      <c r="B12" s="9"/>
      <c r="C12" s="12"/>
      <c r="D12" s="1">
        <f t="shared" si="3"/>
        <v>76.989658396436596</v>
      </c>
      <c r="E12" s="9" t="s">
        <v>89</v>
      </c>
    </row>
    <row r="13" spans="1:5" x14ac:dyDescent="0.25">
      <c r="A13" s="9">
        <v>86</v>
      </c>
      <c r="B13" s="9">
        <v>28</v>
      </c>
      <c r="C13" s="12"/>
      <c r="D13" s="1">
        <f t="shared" si="3"/>
        <v>74.478184725461716</v>
      </c>
      <c r="E13" s="9" t="s">
        <v>99</v>
      </c>
    </row>
    <row r="14" spans="1:5" x14ac:dyDescent="0.25">
      <c r="A14" s="9">
        <v>85</v>
      </c>
      <c r="B14" s="9">
        <v>28</v>
      </c>
      <c r="C14" s="12"/>
      <c r="D14" s="1">
        <f t="shared" si="3"/>
        <v>73.612159321677282</v>
      </c>
      <c r="E14" s="9" t="s">
        <v>90</v>
      </c>
    </row>
    <row r="15" spans="1:5" x14ac:dyDescent="0.25">
      <c r="A15" s="9">
        <v>80</v>
      </c>
      <c r="B15" s="9">
        <v>26</v>
      </c>
      <c r="C15" s="12">
        <f>A15/2</f>
        <v>40</v>
      </c>
      <c r="D15" s="1">
        <f t="shared" si="3"/>
        <v>69.282032302755084</v>
      </c>
      <c r="E15" s="9" t="s">
        <v>91</v>
      </c>
    </row>
    <row r="16" spans="1:5" x14ac:dyDescent="0.25">
      <c r="A16" s="9">
        <v>70</v>
      </c>
      <c r="B16" s="9">
        <v>24</v>
      </c>
      <c r="C16" s="12"/>
      <c r="D16" s="1">
        <f t="shared" si="3"/>
        <v>60.621778264910702</v>
      </c>
      <c r="E16" s="9" t="s">
        <v>100</v>
      </c>
    </row>
    <row r="17" spans="2:5" x14ac:dyDescent="0.25">
      <c r="B17" s="9"/>
      <c r="C17" s="12"/>
      <c r="D17" s="9"/>
      <c r="E17" s="9"/>
    </row>
    <row r="18" spans="2:5" x14ac:dyDescent="0.25">
      <c r="D18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L32" sqref="L32"/>
    </sheetView>
  </sheetViews>
  <sheetFormatPr defaultRowHeight="15" x14ac:dyDescent="0.25"/>
  <cols>
    <col min="1" max="1" width="5.5703125" customWidth="1"/>
    <col min="2" max="2" width="5.85546875" customWidth="1"/>
    <col min="3" max="3" width="6.42578125" style="1" customWidth="1"/>
    <col min="4" max="5" width="5.85546875" style="1" customWidth="1"/>
    <col min="6" max="6" width="6.140625" style="1" customWidth="1"/>
    <col min="7" max="7" width="6.140625" customWidth="1"/>
    <col min="8" max="8" width="5.85546875" customWidth="1"/>
    <col min="9" max="9" width="6.140625" style="1" customWidth="1"/>
  </cols>
  <sheetData>
    <row r="1" spans="1:10" x14ac:dyDescent="0.25">
      <c r="A1" t="s">
        <v>93</v>
      </c>
    </row>
    <row r="2" spans="1:10" s="2" customFormat="1" ht="30" x14ac:dyDescent="0.25">
      <c r="A2" s="2" t="s">
        <v>1</v>
      </c>
      <c r="B2" s="2" t="s">
        <v>29</v>
      </c>
      <c r="C2" s="33" t="s">
        <v>130</v>
      </c>
      <c r="D2" s="34"/>
      <c r="E2" s="34"/>
      <c r="F2" s="33" t="s">
        <v>9</v>
      </c>
      <c r="G2" s="34"/>
      <c r="H2" s="34"/>
      <c r="I2" s="4" t="s">
        <v>8</v>
      </c>
    </row>
    <row r="4" spans="1:10" x14ac:dyDescent="0.25">
      <c r="A4">
        <v>146</v>
      </c>
      <c r="B4">
        <v>44</v>
      </c>
      <c r="C4" s="1">
        <f>A4*SIN(RADIANS(45))</f>
        <v>103.23759005323593</v>
      </c>
      <c r="F4" s="1">
        <f>2* DEGREES(ASIN(C4/A4))</f>
        <v>90</v>
      </c>
      <c r="J4" t="s">
        <v>10</v>
      </c>
    </row>
    <row r="5" spans="1:10" x14ac:dyDescent="0.25">
      <c r="A5">
        <v>145</v>
      </c>
      <c r="B5">
        <v>44</v>
      </c>
      <c r="C5" s="1">
        <f t="shared" ref="C5:C7" si="0">A5*SIN(RADIANS(45))</f>
        <v>102.53048327204938</v>
      </c>
      <c r="F5" s="1">
        <f t="shared" ref="F5:F23" si="1">2* DEGREES(ASIN(C5/A5))</f>
        <v>90</v>
      </c>
      <c r="J5" t="s">
        <v>11</v>
      </c>
    </row>
    <row r="6" spans="1:10" x14ac:dyDescent="0.25">
      <c r="A6">
        <v>120</v>
      </c>
      <c r="B6">
        <v>36</v>
      </c>
      <c r="C6" s="1">
        <f t="shared" si="0"/>
        <v>84.852813742385692</v>
      </c>
      <c r="F6" s="1">
        <f t="shared" si="1"/>
        <v>90</v>
      </c>
      <c r="J6" t="s">
        <v>12</v>
      </c>
    </row>
    <row r="7" spans="1:10" x14ac:dyDescent="0.25">
      <c r="A7">
        <v>112</v>
      </c>
      <c r="B7">
        <v>34</v>
      </c>
      <c r="C7" s="1">
        <f t="shared" si="0"/>
        <v>79.195959492893309</v>
      </c>
      <c r="F7" s="1">
        <f t="shared" si="1"/>
        <v>89.999999999999957</v>
      </c>
      <c r="J7" t="s">
        <v>13</v>
      </c>
    </row>
    <row r="8" spans="1:10" x14ac:dyDescent="0.25">
      <c r="A8">
        <v>110</v>
      </c>
      <c r="B8">
        <v>34</v>
      </c>
      <c r="C8" s="1">
        <v>63.6</v>
      </c>
      <c r="D8" s="1">
        <v>90.6</v>
      </c>
      <c r="F8" s="1">
        <f t="shared" si="1"/>
        <v>70.645525533868906</v>
      </c>
      <c r="G8" s="1">
        <f>2*DEGREES(ASIN(D8/A8))</f>
        <v>110.90096410875002</v>
      </c>
      <c r="H8" s="1"/>
      <c r="I8" s="1">
        <f>2*(F8+G8)</f>
        <v>363.09297928523785</v>
      </c>
      <c r="J8" t="s">
        <v>14</v>
      </c>
    </row>
    <row r="9" spans="1:10" x14ac:dyDescent="0.25">
      <c r="A9">
        <v>110</v>
      </c>
      <c r="B9">
        <v>34</v>
      </c>
      <c r="C9" s="1">
        <v>64.8</v>
      </c>
      <c r="D9" s="1">
        <v>89.3</v>
      </c>
      <c r="F9" s="1">
        <f t="shared" si="1"/>
        <v>72.185045721310843</v>
      </c>
      <c r="G9" s="1">
        <f>2*DEGREES(ASIN(D9/A9))</f>
        <v>108.54790994774531</v>
      </c>
      <c r="H9" s="1"/>
      <c r="I9" s="1">
        <f>2*(F9+G9)</f>
        <v>361.46591133811228</v>
      </c>
      <c r="J9" t="s">
        <v>94</v>
      </c>
    </row>
    <row r="10" spans="1:10" x14ac:dyDescent="0.25">
      <c r="A10">
        <v>107</v>
      </c>
      <c r="B10">
        <v>34</v>
      </c>
      <c r="C10" s="1">
        <v>62.9</v>
      </c>
      <c r="D10" s="1">
        <v>86.6</v>
      </c>
      <c r="F10" s="1">
        <f t="shared" si="1"/>
        <v>72.009237515548321</v>
      </c>
      <c r="G10" s="1">
        <f>2*DEGREES(ASIN(D10/A10))</f>
        <v>108.06412584230169</v>
      </c>
      <c r="H10" s="1"/>
      <c r="I10" s="1">
        <f>2*(F10+G10)</f>
        <v>360.14672671570003</v>
      </c>
      <c r="J10" t="s">
        <v>143</v>
      </c>
    </row>
    <row r="11" spans="1:10" x14ac:dyDescent="0.25">
      <c r="A11">
        <v>104</v>
      </c>
      <c r="B11">
        <v>30</v>
      </c>
      <c r="C11" s="1">
        <f t="shared" ref="C11:C12" si="2">A11*SIN(RADIANS(45))</f>
        <v>73.53910524340094</v>
      </c>
      <c r="F11" s="1">
        <f t="shared" si="1"/>
        <v>90</v>
      </c>
      <c r="J11" t="s">
        <v>16</v>
      </c>
    </row>
    <row r="12" spans="1:10" x14ac:dyDescent="0.25">
      <c r="A12">
        <v>102</v>
      </c>
      <c r="B12">
        <v>32</v>
      </c>
      <c r="C12" s="1">
        <f t="shared" si="2"/>
        <v>72.124891681027847</v>
      </c>
      <c r="F12" s="1">
        <f t="shared" si="1"/>
        <v>90.000000000000014</v>
      </c>
      <c r="J12" t="s">
        <v>17</v>
      </c>
    </row>
    <row r="13" spans="1:10" x14ac:dyDescent="0.25">
      <c r="A13">
        <v>100</v>
      </c>
      <c r="B13">
        <v>32</v>
      </c>
      <c r="C13" s="1">
        <f>78*5/6</f>
        <v>65</v>
      </c>
      <c r="D13" s="1">
        <f>71*5/6</f>
        <v>59.166666666666664</v>
      </c>
      <c r="E13" s="1">
        <f>112.2*5/6</f>
        <v>93.5</v>
      </c>
      <c r="F13" s="1">
        <f t="shared" si="1"/>
        <v>81.083203747009037</v>
      </c>
      <c r="G13" s="1">
        <f>2*DEGREES(ASIN(D13/A13))</f>
        <v>72.550738671013235</v>
      </c>
      <c r="H13" s="1">
        <f>2*DEGREES(ASIN(E13/A13))</f>
        <v>138.4562899093435</v>
      </c>
      <c r="I13" s="1">
        <f>(G13+H13+2*F13)</f>
        <v>373.17343607437482</v>
      </c>
      <c r="J13" t="s">
        <v>30</v>
      </c>
    </row>
    <row r="14" spans="1:10" x14ac:dyDescent="0.25">
      <c r="A14">
        <v>96</v>
      </c>
      <c r="B14">
        <v>30</v>
      </c>
      <c r="C14" s="1">
        <f>A14*SIN(RADIANS(45))</f>
        <v>67.882250993908556</v>
      </c>
      <c r="F14" s="1">
        <f t="shared" si="1"/>
        <v>90</v>
      </c>
      <c r="J14" t="s">
        <v>19</v>
      </c>
    </row>
    <row r="15" spans="1:10" x14ac:dyDescent="0.25">
      <c r="A15">
        <v>96</v>
      </c>
      <c r="B15">
        <v>30</v>
      </c>
      <c r="C15" s="1">
        <v>55.2</v>
      </c>
      <c r="D15" s="1">
        <v>78.8</v>
      </c>
      <c r="F15" s="1">
        <f t="shared" si="1"/>
        <v>70.199264390787036</v>
      </c>
      <c r="G15" s="1">
        <f>2*DEGREES(ASIN(D15/A15))</f>
        <v>110.33660164533325</v>
      </c>
      <c r="H15" s="1"/>
      <c r="I15" s="1">
        <f>2*(F15+G15)</f>
        <v>361.07173207224059</v>
      </c>
      <c r="J15" t="s">
        <v>20</v>
      </c>
    </row>
    <row r="16" spans="1:10" x14ac:dyDescent="0.25">
      <c r="A16">
        <v>96</v>
      </c>
      <c r="B16">
        <v>30</v>
      </c>
      <c r="C16" s="1">
        <v>55.2</v>
      </c>
      <c r="D16" s="1">
        <v>78.8</v>
      </c>
      <c r="F16" s="1">
        <f t="shared" si="1"/>
        <v>70.199264390787036</v>
      </c>
      <c r="G16" s="1">
        <f>2*DEGREES(ASIN(D16/A16))</f>
        <v>110.33660164533325</v>
      </c>
      <c r="H16" s="1"/>
      <c r="I16" s="1">
        <f>2*(F16+G16)</f>
        <v>361.07173207224059</v>
      </c>
      <c r="J16" t="s">
        <v>21</v>
      </c>
    </row>
    <row r="17" spans="1:10" x14ac:dyDescent="0.25">
      <c r="A17">
        <v>94</v>
      </c>
      <c r="B17">
        <v>30</v>
      </c>
      <c r="C17" s="1">
        <f t="shared" ref="C17:C18" si="3">A17*SIN(RADIANS(45))</f>
        <v>66.468037431535464</v>
      </c>
      <c r="F17" s="1">
        <f t="shared" si="1"/>
        <v>90</v>
      </c>
      <c r="J17" t="s">
        <v>22</v>
      </c>
    </row>
    <row r="18" spans="1:10" x14ac:dyDescent="0.25">
      <c r="A18">
        <v>88</v>
      </c>
      <c r="B18">
        <v>28</v>
      </c>
      <c r="C18" s="1">
        <f t="shared" si="3"/>
        <v>62.225396744416173</v>
      </c>
      <c r="F18" s="1">
        <f t="shared" si="1"/>
        <v>90</v>
      </c>
      <c r="J18" t="s">
        <v>23</v>
      </c>
    </row>
    <row r="19" spans="1:10" x14ac:dyDescent="0.25">
      <c r="A19">
        <v>76</v>
      </c>
      <c r="B19">
        <v>25</v>
      </c>
      <c r="C19" s="1">
        <v>49</v>
      </c>
      <c r="D19" s="1">
        <v>62.4</v>
      </c>
      <c r="E19" s="1">
        <v>53.9</v>
      </c>
      <c r="F19" s="1">
        <f t="shared" si="1"/>
        <v>80.291895324256927</v>
      </c>
      <c r="G19" s="1">
        <f>2*DEGREES(ASIN(D19/A19))</f>
        <v>110.38061089435242</v>
      </c>
      <c r="H19" s="1">
        <f>2*DEGREES(ASIN(E19/A19))</f>
        <v>90.341435665364131</v>
      </c>
      <c r="I19" s="1">
        <f>(G19+H19+2*F19)</f>
        <v>361.3058372082304</v>
      </c>
      <c r="J19" t="s">
        <v>24</v>
      </c>
    </row>
    <row r="20" spans="1:10" x14ac:dyDescent="0.25">
      <c r="A20">
        <v>68</v>
      </c>
      <c r="B20">
        <v>22</v>
      </c>
      <c r="C20" s="1">
        <f>A20*SIN(RADIANS(45))</f>
        <v>48.083261120685229</v>
      </c>
      <c r="F20" s="1">
        <f t="shared" si="1"/>
        <v>90</v>
      </c>
      <c r="J20" t="s">
        <v>25</v>
      </c>
    </row>
    <row r="21" spans="1:10" x14ac:dyDescent="0.25">
      <c r="A21">
        <v>64</v>
      </c>
      <c r="B21">
        <v>22</v>
      </c>
      <c r="C21" s="1">
        <f t="shared" ref="C21" si="4">A21*SIN(RADIANS(45))</f>
        <v>45.254833995939038</v>
      </c>
      <c r="F21" s="1">
        <f t="shared" si="1"/>
        <v>90</v>
      </c>
      <c r="J21" t="s">
        <v>26</v>
      </c>
    </row>
    <row r="22" spans="1:10" x14ac:dyDescent="0.25">
      <c r="A22">
        <v>64</v>
      </c>
      <c r="B22">
        <v>22</v>
      </c>
      <c r="C22" s="1">
        <f>(43/53.2)*C21</f>
        <v>36.578155297469522</v>
      </c>
      <c r="D22" s="1">
        <f>(61.8/53.2)*C21</f>
        <v>52.57046505543294</v>
      </c>
      <c r="F22" s="1">
        <f t="shared" si="1"/>
        <v>69.714486142485626</v>
      </c>
      <c r="G22" s="1">
        <f>2*DEGREES(ASIN(D22/A22))</f>
        <v>110.45308703438714</v>
      </c>
      <c r="I22" s="1">
        <f>2*(F22+G22)</f>
        <v>360.33514635374553</v>
      </c>
      <c r="J22" t="s">
        <v>27</v>
      </c>
    </row>
    <row r="23" spans="1:10" x14ac:dyDescent="0.25">
      <c r="A23">
        <v>58</v>
      </c>
      <c r="B23">
        <v>20</v>
      </c>
      <c r="C23" s="1">
        <f>A23*SIN(RADIANS(45))</f>
        <v>41.012193308819754</v>
      </c>
      <c r="F23" s="1">
        <f t="shared" si="1"/>
        <v>90</v>
      </c>
      <c r="J23" t="s">
        <v>28</v>
      </c>
    </row>
  </sheetData>
  <mergeCells count="2">
    <mergeCell ref="F2:H2"/>
    <mergeCell ref="C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6" workbookViewId="0">
      <selection activeCell="L48" sqref="L48"/>
    </sheetView>
  </sheetViews>
  <sheetFormatPr defaultRowHeight="15" x14ac:dyDescent="0.25"/>
  <cols>
    <col min="2" max="2" width="11.5703125" style="6" customWidth="1"/>
    <col min="3" max="3" width="9.140625" style="20"/>
    <col min="5" max="5" width="7.7109375" style="6" customWidth="1"/>
    <col min="6" max="6" width="9.140625" style="1"/>
    <col min="8" max="8" width="9.140625" style="1"/>
  </cols>
  <sheetData>
    <row r="1" spans="1:8" x14ac:dyDescent="0.25">
      <c r="B1" s="6" t="s">
        <v>101</v>
      </c>
      <c r="C1" s="20" t="s">
        <v>1</v>
      </c>
    </row>
    <row r="2" spans="1:8" x14ac:dyDescent="0.25">
      <c r="C2" s="20">
        <v>76</v>
      </c>
    </row>
    <row r="3" spans="1:8" s="15" customFormat="1" ht="45" x14ac:dyDescent="0.25">
      <c r="A3" s="15" t="s">
        <v>109</v>
      </c>
      <c r="B3" s="7" t="s">
        <v>104</v>
      </c>
      <c r="C3" s="21" t="s">
        <v>102</v>
      </c>
      <c r="D3" s="15" t="s">
        <v>103</v>
      </c>
      <c r="E3" s="7" t="s">
        <v>106</v>
      </c>
      <c r="F3" s="14" t="s">
        <v>105</v>
      </c>
      <c r="G3" s="15" t="s">
        <v>108</v>
      </c>
      <c r="H3" s="14" t="s">
        <v>107</v>
      </c>
    </row>
    <row r="4" spans="1:8" x14ac:dyDescent="0.25">
      <c r="B4" s="6">
        <v>8.9</v>
      </c>
      <c r="C4" s="20">
        <f>10*B4/$C$2</f>
        <v>1.1710526315789473</v>
      </c>
      <c r="D4">
        <v>15.5</v>
      </c>
      <c r="E4" s="6">
        <f>D4/$B$8</f>
        <v>1.7415730337078652</v>
      </c>
      <c r="F4" s="1">
        <f>2*DEGREES(ASIN((E4/2)))</f>
        <v>121.10033369810259</v>
      </c>
      <c r="G4">
        <v>120</v>
      </c>
      <c r="H4" s="1">
        <f>$C$2*SIN(RADIANS(G4/2))</f>
        <v>65.817930687617334</v>
      </c>
    </row>
    <row r="5" spans="1:8" x14ac:dyDescent="0.25">
      <c r="B5" s="6">
        <v>8.9</v>
      </c>
      <c r="C5" s="20">
        <f>10*B5/$C$2</f>
        <v>1.1710526315789473</v>
      </c>
      <c r="D5">
        <v>11.5</v>
      </c>
      <c r="E5" s="6">
        <f>D5/$B$8</f>
        <v>1.2921348314606742</v>
      </c>
      <c r="F5" s="1">
        <f>2*DEGREES(ASIN((E5/2)))</f>
        <v>80.491507772694717</v>
      </c>
      <c r="G5">
        <v>80</v>
      </c>
      <c r="H5" s="1">
        <f>$C$2*SIN(RADIANS(G5/2))</f>
        <v>48.851858336176981</v>
      </c>
    </row>
    <row r="6" spans="1:8" x14ac:dyDescent="0.25">
      <c r="B6" s="6">
        <v>8.9</v>
      </c>
      <c r="C6" s="20">
        <f>10*B6/$C$2</f>
        <v>1.1710526315789473</v>
      </c>
      <c r="D6">
        <v>11.5</v>
      </c>
      <c r="E6" s="6">
        <f>D6/$B$8</f>
        <v>1.2921348314606742</v>
      </c>
      <c r="F6" s="1">
        <f>2*DEGREES(ASIN((E6/2)))</f>
        <v>80.491507772694717</v>
      </c>
      <c r="G6">
        <v>80</v>
      </c>
      <c r="H6" s="1">
        <f>$C$2*SIN(RADIANS(G6/2))</f>
        <v>48.851858336176981</v>
      </c>
    </row>
    <row r="7" spans="1:8" x14ac:dyDescent="0.25">
      <c r="B7" s="6">
        <v>8.9</v>
      </c>
      <c r="C7" s="20">
        <f>10*B7/$C$2</f>
        <v>1.1710526315789473</v>
      </c>
      <c r="D7">
        <v>11.5</v>
      </c>
      <c r="E7" s="6">
        <f>D7/$B$8</f>
        <v>1.2921348314606742</v>
      </c>
      <c r="F7" s="1">
        <f>2*DEGREES(ASIN((E7/2)))</f>
        <v>80.491507772694717</v>
      </c>
      <c r="G7">
        <v>80</v>
      </c>
      <c r="H7" s="1">
        <f>$C$2*SIN(RADIANS(G7/2))</f>
        <v>48.851858336176981</v>
      </c>
    </row>
    <row r="8" spans="1:8" x14ac:dyDescent="0.25">
      <c r="A8" t="s">
        <v>72</v>
      </c>
      <c r="B8" s="6">
        <f>AVERAGE(B4:B7)</f>
        <v>8.9</v>
      </c>
      <c r="C8" s="20">
        <f>AVERAGE(C4:C7)</f>
        <v>1.1710526315789473</v>
      </c>
      <c r="E8" s="6">
        <f>AVERAGE(E5:E7)</f>
        <v>1.2921348314606742</v>
      </c>
      <c r="F8" s="1">
        <f>AVERAGE(F5:F7)</f>
        <v>80.491507772694717</v>
      </c>
    </row>
    <row r="9" spans="1:8" x14ac:dyDescent="0.25">
      <c r="A9" t="s">
        <v>69</v>
      </c>
      <c r="F9" s="1">
        <f>SUM(F4:F7)</f>
        <v>362.57485701618674</v>
      </c>
      <c r="G9">
        <f>SUM(G4:G7)</f>
        <v>360</v>
      </c>
    </row>
    <row r="11" spans="1:8" ht="45" x14ac:dyDescent="0.25">
      <c r="A11" s="15" t="s">
        <v>110</v>
      </c>
      <c r="B11" s="7" t="s">
        <v>104</v>
      </c>
      <c r="C11" s="21" t="s">
        <v>102</v>
      </c>
      <c r="D11" s="15" t="s">
        <v>103</v>
      </c>
      <c r="E11" s="7" t="s">
        <v>106</v>
      </c>
      <c r="F11" s="14" t="s">
        <v>105</v>
      </c>
      <c r="G11" s="15" t="s">
        <v>108</v>
      </c>
      <c r="H11" s="14" t="s">
        <v>107</v>
      </c>
    </row>
    <row r="12" spans="1:8" x14ac:dyDescent="0.25">
      <c r="B12" s="6">
        <v>8.9</v>
      </c>
      <c r="C12" s="20">
        <f>10*B12/$C$2</f>
        <v>1.1710526315789473</v>
      </c>
      <c r="D12">
        <v>15.3</v>
      </c>
      <c r="E12" s="6">
        <f>D12/$B$8</f>
        <v>1.7191011235955056</v>
      </c>
      <c r="F12" s="1">
        <f>2*DEGREES(ASIN((E12/2)))</f>
        <v>118.53231477920708</v>
      </c>
      <c r="G12">
        <v>120</v>
      </c>
      <c r="H12" s="1">
        <f>$C$2*SIN(RADIANS(G12/2))</f>
        <v>65.817930687617334</v>
      </c>
    </row>
    <row r="13" spans="1:8" x14ac:dyDescent="0.25">
      <c r="B13" s="6">
        <v>8.9</v>
      </c>
      <c r="C13" s="20">
        <f>10*B13/$C$2</f>
        <v>1.1710526315789473</v>
      </c>
      <c r="D13">
        <v>11.4</v>
      </c>
      <c r="E13" s="6">
        <f>D13/$B$8</f>
        <v>1.2808988764044944</v>
      </c>
      <c r="F13" s="1">
        <f>2*DEGREES(ASIN((E13/2)))</f>
        <v>79.650682285544562</v>
      </c>
      <c r="G13">
        <v>80</v>
      </c>
      <c r="H13" s="1">
        <f>$C$2*SIN(RADIANS(G13/2))</f>
        <v>48.851858336176981</v>
      </c>
    </row>
    <row r="14" spans="1:8" x14ac:dyDescent="0.25">
      <c r="B14" s="6">
        <v>8.9</v>
      </c>
      <c r="C14" s="20">
        <f>10*B14/$C$2</f>
        <v>1.1710526315789473</v>
      </c>
      <c r="D14">
        <v>11.3</v>
      </c>
      <c r="E14" s="6">
        <f>D14/$B$8</f>
        <v>1.2696629213483146</v>
      </c>
      <c r="F14" s="1">
        <f>2*DEGREES(ASIN((E14/2)))</f>
        <v>78.81497068242534</v>
      </c>
      <c r="G14">
        <v>80</v>
      </c>
      <c r="H14" s="1">
        <f>$C$2*SIN(RADIANS(G14/2))</f>
        <v>48.851858336176981</v>
      </c>
    </row>
    <row r="15" spans="1:8" x14ac:dyDescent="0.25">
      <c r="B15" s="6">
        <v>8.85</v>
      </c>
      <c r="C15" s="20">
        <f>10*B15/$C$2</f>
        <v>1.1644736842105263</v>
      </c>
      <c r="D15">
        <v>11.4</v>
      </c>
      <c r="E15" s="6">
        <f>D15/$B$8</f>
        <v>1.2808988764044944</v>
      </c>
      <c r="F15" s="1">
        <f>2*DEGREES(ASIN((E15/2)))</f>
        <v>79.650682285544562</v>
      </c>
      <c r="G15">
        <v>80</v>
      </c>
      <c r="H15" s="1">
        <f>$C$2*SIN(RADIANS(G15/2))</f>
        <v>48.851858336176981</v>
      </c>
    </row>
    <row r="16" spans="1:8" x14ac:dyDescent="0.25">
      <c r="A16" t="s">
        <v>72</v>
      </c>
      <c r="B16" s="6">
        <f>AVERAGE(B12:B15)</f>
        <v>8.8875000000000011</v>
      </c>
      <c r="C16" s="20">
        <f>AVERAGE(C12:C15)</f>
        <v>1.169407894736842</v>
      </c>
      <c r="E16" s="6">
        <f>AVERAGE(E13:E15)</f>
        <v>1.2771535580524345</v>
      </c>
      <c r="F16" s="1">
        <f>AVERAGE(F13:F15)</f>
        <v>79.372111751171488</v>
      </c>
    </row>
    <row r="17" spans="1:8" x14ac:dyDescent="0.25">
      <c r="A17" t="s">
        <v>69</v>
      </c>
      <c r="F17" s="1">
        <f>SUM(F12:F15)</f>
        <v>356.64865003272155</v>
      </c>
      <c r="G17">
        <f>SUM(G12:G15)</f>
        <v>360</v>
      </c>
    </row>
    <row r="19" spans="1:8" ht="45" x14ac:dyDescent="0.25">
      <c r="A19" s="15" t="s">
        <v>111</v>
      </c>
      <c r="B19" s="7" t="s">
        <v>104</v>
      </c>
      <c r="C19" s="21" t="s">
        <v>102</v>
      </c>
      <c r="D19" s="15" t="s">
        <v>103</v>
      </c>
      <c r="E19" s="7" t="s">
        <v>106</v>
      </c>
      <c r="F19" s="14" t="s">
        <v>105</v>
      </c>
      <c r="G19" s="15" t="s">
        <v>108</v>
      </c>
      <c r="H19" s="14" t="s">
        <v>107</v>
      </c>
    </row>
    <row r="20" spans="1:8" x14ac:dyDescent="0.25">
      <c r="B20" s="6">
        <v>8.4499999999999993</v>
      </c>
      <c r="C20" s="20">
        <f>10*B20/$C$2</f>
        <v>1.111842105263158</v>
      </c>
      <c r="D20">
        <v>14.4</v>
      </c>
      <c r="E20" s="6">
        <f>D20/$B$24</f>
        <v>1.7245508982035933</v>
      </c>
      <c r="F20" s="1">
        <f>2*DEGREES(ASIN((E20/2)))</f>
        <v>119.14607657991979</v>
      </c>
      <c r="G20">
        <v>120</v>
      </c>
      <c r="H20" s="1">
        <f>'FSA 76 ABS'!$C$2*SIN(RADIANS(G20/2))</f>
        <v>65.817930687617334</v>
      </c>
    </row>
    <row r="21" spans="1:8" x14ac:dyDescent="0.25">
      <c r="B21" s="6">
        <v>8.35</v>
      </c>
      <c r="C21" s="20">
        <f t="shared" ref="C21:C23" si="0">10*B21/$C$2</f>
        <v>1.0986842105263157</v>
      </c>
      <c r="D21">
        <v>10.6</v>
      </c>
      <c r="E21" s="6">
        <f t="shared" ref="E21:E23" si="1">D21/$B$24</f>
        <v>1.2694610778443116</v>
      </c>
      <c r="F21" s="1">
        <f>2*DEGREES(ASIN((E21/2)))</f>
        <v>78.800003814098716</v>
      </c>
      <c r="G21">
        <v>80</v>
      </c>
      <c r="H21" s="1">
        <f>'FSA 76 ABS'!$C$2*SIN(RADIANS(G21/2))</f>
        <v>48.851858336176981</v>
      </c>
    </row>
    <row r="22" spans="1:8" x14ac:dyDescent="0.25">
      <c r="B22" s="6">
        <v>8.4</v>
      </c>
      <c r="C22" s="20">
        <f t="shared" si="0"/>
        <v>1.1052631578947369</v>
      </c>
      <c r="D22">
        <v>10.6</v>
      </c>
      <c r="E22" s="6">
        <f t="shared" si="1"/>
        <v>1.2694610778443116</v>
      </c>
      <c r="F22" s="1">
        <f>2*DEGREES(ASIN((E22/2)))</f>
        <v>78.800003814098716</v>
      </c>
      <c r="G22">
        <v>80</v>
      </c>
      <c r="H22" s="1">
        <f>'FSA 76 ABS'!$C$2*SIN(RADIANS(G22/2))</f>
        <v>48.851858336176981</v>
      </c>
    </row>
    <row r="23" spans="1:8" x14ac:dyDescent="0.25">
      <c r="B23" s="6">
        <v>8.1999999999999993</v>
      </c>
      <c r="C23" s="20">
        <f t="shared" si="0"/>
        <v>1.0789473684210527</v>
      </c>
      <c r="D23">
        <v>10.6</v>
      </c>
      <c r="E23" s="6">
        <f t="shared" si="1"/>
        <v>1.2694610778443116</v>
      </c>
      <c r="F23" s="1">
        <f>2*DEGREES(ASIN((E23/2)))</f>
        <v>78.800003814098716</v>
      </c>
      <c r="G23">
        <v>80</v>
      </c>
      <c r="H23" s="1">
        <f>'FSA 76 ABS'!$C$2*SIN(RADIANS(G23/2))</f>
        <v>48.851858336176981</v>
      </c>
    </row>
    <row r="24" spans="1:8" x14ac:dyDescent="0.25">
      <c r="A24" t="s">
        <v>72</v>
      </c>
      <c r="B24" s="6">
        <f>AVERAGE(B20:B23)</f>
        <v>8.3499999999999979</v>
      </c>
      <c r="C24" s="20">
        <f>AVERAGE(C20:C23)</f>
        <v>1.0986842105263159</v>
      </c>
      <c r="E24" s="6">
        <f>AVERAGE(E21:E23)</f>
        <v>1.2694610778443116</v>
      </c>
      <c r="F24" s="1">
        <f>AVERAGE(F21:F23)</f>
        <v>78.800003814098716</v>
      </c>
      <c r="G24">
        <v>80</v>
      </c>
      <c r="H24" s="1">
        <f>'FSA 76 ABS'!$C$2*SIN(RADIANS(G24/2))</f>
        <v>48.851858336176981</v>
      </c>
    </row>
    <row r="25" spans="1:8" x14ac:dyDescent="0.25">
      <c r="A25" t="s">
        <v>69</v>
      </c>
      <c r="F25" s="1">
        <f>SUM(F20:F23)</f>
        <v>355.54608802221594</v>
      </c>
      <c r="G25">
        <f>SUM(G20:G23)</f>
        <v>360</v>
      </c>
    </row>
    <row r="27" spans="1:8" ht="45" x14ac:dyDescent="0.25">
      <c r="A27" s="15" t="s">
        <v>113</v>
      </c>
      <c r="B27" s="7" t="s">
        <v>104</v>
      </c>
      <c r="C27" s="21" t="s">
        <v>102</v>
      </c>
      <c r="D27" s="15" t="s">
        <v>103</v>
      </c>
      <c r="E27" s="7" t="s">
        <v>106</v>
      </c>
      <c r="F27" s="14" t="s">
        <v>105</v>
      </c>
      <c r="G27" s="15" t="s">
        <v>108</v>
      </c>
      <c r="H27" s="14" t="s">
        <v>107</v>
      </c>
    </row>
    <row r="28" spans="1:8" x14ac:dyDescent="0.25">
      <c r="B28" s="6">
        <v>8.8000000000000007</v>
      </c>
      <c r="C28" s="20">
        <f>10*B28/$C$2</f>
        <v>1.1578947368421053</v>
      </c>
      <c r="D28">
        <v>15.3</v>
      </c>
      <c r="E28" s="6">
        <f>D28/$B$32</f>
        <v>1.7386363636363635</v>
      </c>
      <c r="F28" s="1">
        <f>2*DEGREES(ASIN((E28/2)))</f>
        <v>120.75900849890922</v>
      </c>
      <c r="G28">
        <v>120</v>
      </c>
      <c r="H28" s="1">
        <f>'FSA 76 ABS'!$C$2*SIN(RADIANS(G28/2))</f>
        <v>65.817930687617334</v>
      </c>
    </row>
    <row r="29" spans="1:8" x14ac:dyDescent="0.25">
      <c r="B29" s="6">
        <v>8.8000000000000007</v>
      </c>
      <c r="C29" s="20">
        <f t="shared" ref="C29:C31" si="2">10*B29/$C$2</f>
        <v>1.1578947368421053</v>
      </c>
      <c r="D29">
        <v>11.3</v>
      </c>
      <c r="E29" s="6">
        <f t="shared" ref="E29:E31" si="3">D29/$B$32</f>
        <v>1.2840909090909092</v>
      </c>
      <c r="F29" s="1">
        <f>2*DEGREES(ASIN((E29/2)))</f>
        <v>79.889027080630157</v>
      </c>
      <c r="G29">
        <v>80</v>
      </c>
      <c r="H29" s="1">
        <f>'FSA 76 ABS'!$C$2*SIN(RADIANS(G29/2))</f>
        <v>48.851858336176981</v>
      </c>
    </row>
    <row r="30" spans="1:8" x14ac:dyDescent="0.25">
      <c r="B30" s="6">
        <v>8.8000000000000007</v>
      </c>
      <c r="C30" s="20">
        <f t="shared" si="2"/>
        <v>1.1578947368421053</v>
      </c>
      <c r="D30">
        <v>11.3</v>
      </c>
      <c r="E30" s="6">
        <f t="shared" si="3"/>
        <v>1.2840909090909092</v>
      </c>
      <c r="F30" s="1">
        <f>2*DEGREES(ASIN((E30/2)))</f>
        <v>79.889027080630157</v>
      </c>
      <c r="G30">
        <v>80</v>
      </c>
      <c r="H30" s="1">
        <f>'FSA 76 ABS'!$C$2*SIN(RADIANS(G30/2))</f>
        <v>48.851858336176981</v>
      </c>
    </row>
    <row r="31" spans="1:8" x14ac:dyDescent="0.25">
      <c r="B31" s="6">
        <v>8.8000000000000007</v>
      </c>
      <c r="C31" s="20">
        <f t="shared" si="2"/>
        <v>1.1578947368421053</v>
      </c>
      <c r="D31">
        <v>11.3</v>
      </c>
      <c r="E31" s="6">
        <f t="shared" si="3"/>
        <v>1.2840909090909092</v>
      </c>
      <c r="F31" s="1">
        <f>2*DEGREES(ASIN((E31/2)))</f>
        <v>79.889027080630157</v>
      </c>
      <c r="G31">
        <v>80</v>
      </c>
      <c r="H31" s="1">
        <f>'FSA 76 ABS'!$C$2*SIN(RADIANS(G31/2))</f>
        <v>48.851858336176981</v>
      </c>
    </row>
    <row r="32" spans="1:8" x14ac:dyDescent="0.25">
      <c r="A32" t="s">
        <v>72</v>
      </c>
      <c r="B32" s="6">
        <f>AVERAGE(B28:B31)</f>
        <v>8.8000000000000007</v>
      </c>
      <c r="C32" s="20">
        <f>AVERAGE(C28:C31)</f>
        <v>1.1578947368421053</v>
      </c>
      <c r="E32" s="6">
        <f>AVERAGE(E29:E31)</f>
        <v>1.2840909090909092</v>
      </c>
      <c r="F32" s="1">
        <f>AVERAGE(F29:F31)</f>
        <v>79.889027080630157</v>
      </c>
      <c r="G32">
        <v>80</v>
      </c>
      <c r="H32" s="1">
        <f>'FSA 76 ABS'!$C$2*SIN(RADIANS(G32/2))</f>
        <v>48.851858336176981</v>
      </c>
    </row>
    <row r="33" spans="1:8" x14ac:dyDescent="0.25">
      <c r="A33" t="s">
        <v>69</v>
      </c>
      <c r="F33" s="1">
        <f>SUM(F28:F31)</f>
        <v>360.42608974079974</v>
      </c>
      <c r="G33">
        <f>SUM(G28:G31)</f>
        <v>360</v>
      </c>
    </row>
    <row r="36" spans="1:8" x14ac:dyDescent="0.25">
      <c r="E36" t="s">
        <v>114</v>
      </c>
      <c r="F36" s="1">
        <f>(F4+F12+F20+F28)/4</f>
        <v>119.88443338903467</v>
      </c>
      <c r="G36">
        <v>120</v>
      </c>
      <c r="H36" s="1">
        <f>'FSA 76 ABS'!$C$2*SIN(RADIANS(G36/2))</f>
        <v>65.817930687617334</v>
      </c>
    </row>
    <row r="37" spans="1:8" x14ac:dyDescent="0.25">
      <c r="E37"/>
      <c r="F37" s="1">
        <f>(F5+F13+F21+F29)/4</f>
        <v>79.707805238242045</v>
      </c>
      <c r="G37">
        <v>80</v>
      </c>
      <c r="H37" s="1">
        <f>'FSA 76 ABS'!$C$2*SIN(RADIANS(G37/2))</f>
        <v>48.851858336176981</v>
      </c>
    </row>
    <row r="38" spans="1:8" x14ac:dyDescent="0.25">
      <c r="E38"/>
      <c r="F38" s="1">
        <f>(F6+F14+F22+F30)/4</f>
        <v>79.498877337462233</v>
      </c>
      <c r="G38">
        <v>80</v>
      </c>
      <c r="H38" s="1">
        <f>'FSA 76 ABS'!$C$2*SIN(RADIANS(G38/2))</f>
        <v>48.851858336176981</v>
      </c>
    </row>
    <row r="39" spans="1:8" x14ac:dyDescent="0.25">
      <c r="F39" s="1">
        <f>(F7+F15+F23+F31)/4</f>
        <v>79.707805238242045</v>
      </c>
      <c r="G39">
        <v>80</v>
      </c>
      <c r="H39" s="1">
        <f>'FSA 76 ABS'!$C$2*SIN(RADIANS(G39/2))</f>
        <v>48.851858336176981</v>
      </c>
    </row>
    <row r="40" spans="1:8" x14ac:dyDescent="0.25">
      <c r="E40" t="s">
        <v>72</v>
      </c>
      <c r="F40" s="1">
        <f>AVERAGE(F37:F39)</f>
        <v>79.63816260464877</v>
      </c>
      <c r="G40">
        <v>80</v>
      </c>
      <c r="H40" s="1">
        <f>'FSA 76 ABS'!$C$2*SIN(RADIANS(G40/2))</f>
        <v>48.851858336176981</v>
      </c>
    </row>
    <row r="41" spans="1:8" x14ac:dyDescent="0.25">
      <c r="F41" s="1">
        <f>+SUM(F36:F39)</f>
        <v>358.79892120298098</v>
      </c>
      <c r="G41">
        <f>SUM(G36:G39)</f>
        <v>360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6" sqref="C6"/>
    </sheetView>
  </sheetViews>
  <sheetFormatPr defaultRowHeight="15" x14ac:dyDescent="0.25"/>
  <cols>
    <col min="3" max="3" width="9.140625" style="6"/>
  </cols>
  <sheetData>
    <row r="1" spans="1:8" x14ac:dyDescent="0.25">
      <c r="B1" t="s">
        <v>119</v>
      </c>
      <c r="C1" s="6" t="s">
        <v>1</v>
      </c>
    </row>
    <row r="2" spans="1:8" x14ac:dyDescent="0.25">
      <c r="C2" s="6">
        <v>96</v>
      </c>
    </row>
    <row r="4" spans="1:8" ht="45" x14ac:dyDescent="0.25">
      <c r="A4" s="15" t="s">
        <v>111</v>
      </c>
      <c r="B4" s="15" t="s">
        <v>104</v>
      </c>
      <c r="C4" s="7" t="s">
        <v>102</v>
      </c>
      <c r="D4" s="15" t="s">
        <v>103</v>
      </c>
      <c r="E4" s="7" t="s">
        <v>106</v>
      </c>
      <c r="F4" s="14" t="s">
        <v>105</v>
      </c>
      <c r="G4" s="15" t="s">
        <v>108</v>
      </c>
      <c r="H4" s="14" t="s">
        <v>107</v>
      </c>
    </row>
    <row r="5" spans="1:8" x14ac:dyDescent="0.25">
      <c r="B5">
        <v>8.75</v>
      </c>
      <c r="C5" s="6">
        <f>10*B5/$C$2</f>
        <v>0.91145833333333337</v>
      </c>
      <c r="D5">
        <v>13.35</v>
      </c>
      <c r="E5" s="6">
        <f>D5/$B$9</f>
        <v>1.5257142857142856</v>
      </c>
      <c r="F5" s="1">
        <f>2*DEGREES(ASIN((E5/2)))</f>
        <v>99.433457733407238</v>
      </c>
      <c r="G5">
        <v>100</v>
      </c>
      <c r="H5" s="1">
        <f>$C$2*SIN(RADIANS(G5/2))</f>
        <v>73.540266539421893</v>
      </c>
    </row>
    <row r="6" spans="1:8" x14ac:dyDescent="0.25">
      <c r="B6">
        <v>8.75</v>
      </c>
      <c r="C6" s="6">
        <f t="shared" ref="C6:C8" si="0">10*B6/$C$2</f>
        <v>0.91145833333333337</v>
      </c>
      <c r="D6">
        <v>12.4</v>
      </c>
      <c r="E6" s="6">
        <f t="shared" ref="E6:E8" si="1">D6/$B$9</f>
        <v>1.4171428571428573</v>
      </c>
      <c r="F6" s="1">
        <f>2*DEGREES(ASIN((E6/2)))</f>
        <v>90.23760277075236</v>
      </c>
      <c r="G6">
        <v>90</v>
      </c>
      <c r="H6" s="1">
        <f t="shared" ref="H6:H8" si="2">$C$2*SIN(RADIANS(G6/2))</f>
        <v>67.882250993908556</v>
      </c>
    </row>
    <row r="7" spans="1:8" x14ac:dyDescent="0.25">
      <c r="B7">
        <v>8.75</v>
      </c>
      <c r="C7" s="6">
        <f t="shared" si="0"/>
        <v>0.91145833333333337</v>
      </c>
      <c r="D7">
        <v>11.35</v>
      </c>
      <c r="E7" s="6">
        <f t="shared" si="1"/>
        <v>1.2971428571428572</v>
      </c>
      <c r="F7" s="1">
        <f>2*DEGREES(ASIN((E7/2)))</f>
        <v>80.86796021265593</v>
      </c>
      <c r="G7">
        <v>80</v>
      </c>
      <c r="H7" s="1">
        <f t="shared" si="2"/>
        <v>61.707610529907768</v>
      </c>
    </row>
    <row r="8" spans="1:8" x14ac:dyDescent="0.25">
      <c r="B8">
        <v>8.75</v>
      </c>
      <c r="C8" s="6">
        <f t="shared" si="0"/>
        <v>0.91145833333333337</v>
      </c>
      <c r="D8">
        <v>12.4</v>
      </c>
      <c r="E8" s="6">
        <f t="shared" si="1"/>
        <v>1.4171428571428573</v>
      </c>
      <c r="F8" s="1">
        <f>2*DEGREES(ASIN((E8/2)))</f>
        <v>90.23760277075236</v>
      </c>
      <c r="G8">
        <v>90</v>
      </c>
      <c r="H8" s="1">
        <f t="shared" si="2"/>
        <v>67.882250993908556</v>
      </c>
    </row>
    <row r="9" spans="1:8" x14ac:dyDescent="0.25">
      <c r="A9" t="s">
        <v>72</v>
      </c>
      <c r="B9">
        <f>AVERAGE(B5:B8)</f>
        <v>8.75</v>
      </c>
      <c r="C9" s="6">
        <f>AVERAGE(C5:C8)</f>
        <v>0.91145833333333337</v>
      </c>
      <c r="D9">
        <v>12.4</v>
      </c>
      <c r="E9" s="6">
        <f>AVERAGE(E6:E8)</f>
        <v>1.3771428571428572</v>
      </c>
      <c r="F9" s="1">
        <f>AVERAGE(F6,F8)</f>
        <v>90.23760277075236</v>
      </c>
      <c r="G9">
        <v>80</v>
      </c>
      <c r="H9" s="1">
        <f>AVERAGE(H6,H8)</f>
        <v>67.882250993908556</v>
      </c>
    </row>
    <row r="10" spans="1:8" x14ac:dyDescent="0.25">
      <c r="A10" t="s">
        <v>69</v>
      </c>
      <c r="E10" s="6"/>
      <c r="F10" s="1">
        <f>SUM(F5:F8)</f>
        <v>360.77662348756786</v>
      </c>
      <c r="G10">
        <f>SUM(G5:G8)</f>
        <v>360</v>
      </c>
      <c r="H10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K37" sqref="K37"/>
    </sheetView>
  </sheetViews>
  <sheetFormatPr defaultRowHeight="15" x14ac:dyDescent="0.25"/>
  <cols>
    <col min="3" max="3" width="9.140625" style="6"/>
  </cols>
  <sheetData>
    <row r="1" spans="1:8" x14ac:dyDescent="0.25">
      <c r="B1" t="s">
        <v>120</v>
      </c>
      <c r="C1" s="6" t="s">
        <v>1</v>
      </c>
    </row>
    <row r="2" spans="1:8" x14ac:dyDescent="0.25">
      <c r="C2" s="6">
        <v>68</v>
      </c>
    </row>
    <row r="4" spans="1:8" ht="45" x14ac:dyDescent="0.25">
      <c r="A4" s="15" t="s">
        <v>111</v>
      </c>
      <c r="B4" s="15" t="s">
        <v>104</v>
      </c>
      <c r="C4" s="7" t="s">
        <v>102</v>
      </c>
      <c r="D4" s="15" t="s">
        <v>103</v>
      </c>
      <c r="E4" s="7" t="s">
        <v>106</v>
      </c>
      <c r="F4" s="14" t="s">
        <v>105</v>
      </c>
      <c r="G4" s="15" t="s">
        <v>108</v>
      </c>
      <c r="H4" s="14" t="s">
        <v>107</v>
      </c>
    </row>
    <row r="5" spans="1:8" x14ac:dyDescent="0.25">
      <c r="B5" s="6">
        <v>6.2</v>
      </c>
      <c r="C5" s="6">
        <f>10*B5/$C$2</f>
        <v>0.91176470588235292</v>
      </c>
      <c r="D5">
        <v>9.5</v>
      </c>
      <c r="E5" s="6">
        <f>D5/$B$9</f>
        <v>1.532258064516129</v>
      </c>
      <c r="F5" s="1">
        <f>2*DEGREES(ASIN((E5/2)))</f>
        <v>100.01508112699418</v>
      </c>
      <c r="G5">
        <v>100</v>
      </c>
      <c r="H5" s="1">
        <f>$C$2*SIN(RADIANS(G5/2))</f>
        <v>52.091022132090508</v>
      </c>
    </row>
    <row r="6" spans="1:8" x14ac:dyDescent="0.25">
      <c r="B6" s="6">
        <v>6.2</v>
      </c>
      <c r="C6" s="6">
        <f t="shared" ref="C6:C8" si="0">10*B6/$C$2</f>
        <v>0.91176470588235292</v>
      </c>
      <c r="D6">
        <v>8.75</v>
      </c>
      <c r="E6" s="6">
        <f t="shared" ref="E6:E8" si="1">D6/$B$9</f>
        <v>1.411290322580645</v>
      </c>
      <c r="F6" s="1">
        <f>2*DEGREES(ASIN((E6/2)))</f>
        <v>89.763378489776869</v>
      </c>
      <c r="G6">
        <v>90</v>
      </c>
      <c r="H6" s="1">
        <f t="shared" ref="H6:H8" si="2">$C$2*SIN(RADIANS(G6/2))</f>
        <v>48.083261120685229</v>
      </c>
    </row>
    <row r="7" spans="1:8" x14ac:dyDescent="0.25">
      <c r="B7" s="6">
        <v>6.2</v>
      </c>
      <c r="C7" s="6">
        <f t="shared" si="0"/>
        <v>0.91176470588235292</v>
      </c>
      <c r="D7">
        <v>8</v>
      </c>
      <c r="E7" s="6">
        <f t="shared" si="1"/>
        <v>1.2903225806451613</v>
      </c>
      <c r="F7" s="1">
        <f>2*DEGREES(ASIN((E7/2)))</f>
        <v>80.35553908029577</v>
      </c>
      <c r="G7">
        <v>80</v>
      </c>
      <c r="H7" s="1">
        <f t="shared" si="2"/>
        <v>43.709557458684671</v>
      </c>
    </row>
    <row r="8" spans="1:8" x14ac:dyDescent="0.25">
      <c r="B8" s="6">
        <v>6.2</v>
      </c>
      <c r="C8" s="6">
        <f t="shared" si="0"/>
        <v>0.91176470588235292</v>
      </c>
      <c r="D8">
        <v>8.75</v>
      </c>
      <c r="E8" s="6">
        <f t="shared" si="1"/>
        <v>1.411290322580645</v>
      </c>
      <c r="F8" s="1">
        <f>2*DEGREES(ASIN((E8/2)))</f>
        <v>89.763378489776869</v>
      </c>
      <c r="G8">
        <v>90</v>
      </c>
      <c r="H8" s="1">
        <f t="shared" si="2"/>
        <v>48.083261120685229</v>
      </c>
    </row>
    <row r="9" spans="1:8" x14ac:dyDescent="0.25">
      <c r="A9" t="s">
        <v>72</v>
      </c>
      <c r="B9" s="6">
        <f>AVERAGE(B5:B8)</f>
        <v>6.2</v>
      </c>
      <c r="C9" s="6">
        <f>AVERAGE(C5:C8)</f>
        <v>0.91176470588235292</v>
      </c>
      <c r="D9">
        <f>AVERAGE(D6,D8)</f>
        <v>8.75</v>
      </c>
      <c r="E9" s="6">
        <f>AVERAGE(E6:E8)</f>
        <v>1.3709677419354838</v>
      </c>
      <c r="F9" s="1">
        <f>AVERAGE(F6,F8)</f>
        <v>89.763378489776869</v>
      </c>
      <c r="G9">
        <f>AVERAGE(G6,G8)</f>
        <v>90</v>
      </c>
      <c r="H9" s="1">
        <f>AVERAGE(H6,H8)</f>
        <v>48.083261120685229</v>
      </c>
    </row>
    <row r="10" spans="1:8" x14ac:dyDescent="0.25">
      <c r="A10" t="s">
        <v>69</v>
      </c>
      <c r="E10" s="6"/>
      <c r="F10" s="1">
        <f>SUM(F5:F8)</f>
        <v>359.8973771868437</v>
      </c>
      <c r="G10">
        <f>SUM(G5:G8)</f>
        <v>360</v>
      </c>
      <c r="H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sprocket diameters</vt:lpstr>
      <vt:lpstr>4 bolt even</vt:lpstr>
      <vt:lpstr>4 bolt uneven</vt:lpstr>
      <vt:lpstr>5--bolt</vt:lpstr>
      <vt:lpstr>3 and 6-bolt</vt:lpstr>
      <vt:lpstr>4-bolt raw</vt:lpstr>
      <vt:lpstr>FSA 76 ABS</vt:lpstr>
      <vt:lpstr>FSA 96 ABS</vt:lpstr>
      <vt:lpstr>FSA 68 ABS</vt:lpstr>
      <vt:lpstr>FSA 110 ABS</vt:lpstr>
      <vt:lpstr>Torno</vt:lpstr>
      <vt:lpstr>CAMO</vt:lpstr>
      <vt:lpstr>Campag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2020-05-27T14:37:46Z</dcterms:created>
  <dcterms:modified xsi:type="dcterms:W3CDTF">2022-08-10T13:02:11Z</dcterms:modified>
</cp:coreProperties>
</file>